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9690" windowHeight="7290" tabRatio="599" firstSheet="4" activeTab="6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3Q-P&amp;L" sheetId="5" r:id="rId5"/>
    <sheet name="3Q-BS" sheetId="6" r:id="rId6"/>
    <sheet name="3Q-equity" sheetId="7" r:id="rId7"/>
    <sheet name="3Q03CashFlow" sheetId="8" r:id="rId8"/>
  </sheets>
  <definedNames>
    <definedName name="_xlnm.Print_Area" localSheetId="5">'3Q-BS'!$A$2:$G$46</definedName>
    <definedName name="_xlnm.Print_Area" localSheetId="6">'3Q-equity'!$A$2:$N$28</definedName>
    <definedName name="_xlnm.Print_Area" localSheetId="4">'3Q-P&amp;L'!$C$2:$W$41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<sst xmlns="http://schemas.openxmlformats.org/spreadsheetml/2006/main" count="163" uniqueCount="125">
  <si>
    <t>RM'000</t>
  </si>
  <si>
    <t>RM '000</t>
  </si>
  <si>
    <t>Share Capital</t>
  </si>
  <si>
    <t xml:space="preserve">As At </t>
  </si>
  <si>
    <t>Current Assets</t>
  </si>
  <si>
    <t>Current Liabitlties</t>
  </si>
  <si>
    <t>Provision for Taxation</t>
  </si>
  <si>
    <t>Shareholders Funds</t>
  </si>
  <si>
    <t>Reserves</t>
  </si>
  <si>
    <t>Short term borrowings</t>
  </si>
  <si>
    <t xml:space="preserve">           CORPORATION  BERHAD</t>
  </si>
  <si>
    <t xml:space="preserve">                    (Company No: 10289-K)</t>
  </si>
  <si>
    <t>Revenue</t>
  </si>
  <si>
    <t>Investment property</t>
  </si>
  <si>
    <t>Goodwill on consolidation</t>
  </si>
  <si>
    <t>Inventories</t>
  </si>
  <si>
    <t>Trade payables</t>
  </si>
  <si>
    <t>Other payables</t>
  </si>
  <si>
    <t>Taxation</t>
  </si>
  <si>
    <t>Properties, plant and equipment</t>
  </si>
  <si>
    <t>Net Current Liabilities</t>
  </si>
  <si>
    <t>CONDENSED CONSOLIDATED INCOME STATEMENT (UNAUDITED)</t>
  </si>
  <si>
    <t>Cost of sales</t>
  </si>
  <si>
    <t>Other operating income</t>
  </si>
  <si>
    <t>Administrative expenses</t>
  </si>
  <si>
    <t>Other operating expenses</t>
  </si>
  <si>
    <t>Distribution costs</t>
  </si>
  <si>
    <t>Finance Costs</t>
  </si>
  <si>
    <t>Share of loss of association</t>
  </si>
  <si>
    <t>Gain on disposal of association</t>
  </si>
  <si>
    <t>(Loss)/profit before tax</t>
  </si>
  <si>
    <t>Operating (loss)/profit</t>
  </si>
  <si>
    <t>(Loss)/profit after tax</t>
  </si>
  <si>
    <t>Minority interest</t>
  </si>
  <si>
    <t>Net (Loss)/Profit for the period</t>
  </si>
  <si>
    <t>EPS - Basic (sen)</t>
  </si>
  <si>
    <t xml:space="preserve">   Capital Reserve</t>
  </si>
  <si>
    <t xml:space="preserve">   Accumulated losses</t>
  </si>
  <si>
    <t xml:space="preserve">   Exchange Fluctuation Reserve</t>
  </si>
  <si>
    <t>Net tangible assets per share</t>
  </si>
  <si>
    <t>Adjustments for:</t>
  </si>
  <si>
    <t xml:space="preserve">  - Depreciation</t>
  </si>
  <si>
    <t xml:space="preserve">  - Amortisation of goodwill</t>
  </si>
  <si>
    <t xml:space="preserve">  - Interest expense</t>
  </si>
  <si>
    <t xml:space="preserve">  - Inventories</t>
  </si>
  <si>
    <t xml:space="preserve">  - Payables and accruals</t>
  </si>
  <si>
    <t>Retirement benefits paid</t>
  </si>
  <si>
    <t>Net (decrease)/increase in cash and cash equivalent</t>
  </si>
  <si>
    <t>Total</t>
  </si>
  <si>
    <t>CONDENSED CONSOLIDATED STATEMENT OF CHANGES IN EQUITY</t>
  </si>
  <si>
    <t>Exchange</t>
  </si>
  <si>
    <t xml:space="preserve">Share </t>
  </si>
  <si>
    <t>Capital</t>
  </si>
  <si>
    <t>Fluctuation</t>
  </si>
  <si>
    <t>Accumulated</t>
  </si>
  <si>
    <t>Losses</t>
  </si>
  <si>
    <t>Net loss for the period</t>
  </si>
  <si>
    <t>Currency translation differences</t>
  </si>
  <si>
    <t>31 Dec 2002</t>
  </si>
  <si>
    <t>CONDENSED CONSOLIDATED CASH FLOW STATEMENTS (unaudited)</t>
  </si>
  <si>
    <t xml:space="preserve">   3 months ended</t>
  </si>
  <si>
    <t>Retirement Benefits</t>
  </si>
  <si>
    <t>(unaudited)</t>
  </si>
  <si>
    <t xml:space="preserve">CONDENSED CONSOLIDATED BALANCE SHEET </t>
  </si>
  <si>
    <t xml:space="preserve">           MENTIGA CORPORATION  BERHAD</t>
  </si>
  <si>
    <t xml:space="preserve">  - Receivables</t>
  </si>
  <si>
    <t xml:space="preserve">  - Provision for doubtful debt</t>
  </si>
  <si>
    <t xml:space="preserve">  - Other income</t>
  </si>
  <si>
    <t xml:space="preserve">Changes in working capital: </t>
  </si>
  <si>
    <t>(Increase)/Decrease in:</t>
  </si>
  <si>
    <t>Increase/(Decrease) in:</t>
  </si>
  <si>
    <t>Operating loss before working capital changes</t>
  </si>
  <si>
    <t>Foreign exchange differences on opening balances</t>
  </si>
  <si>
    <t>Bank Overdrafts</t>
  </si>
  <si>
    <t>Advance from a substantial shareholder</t>
  </si>
  <si>
    <t>Restated</t>
  </si>
  <si>
    <t>Unaudited</t>
  </si>
  <si>
    <t>For the Quarter Ended 30 September 2003</t>
  </si>
  <si>
    <t>30/9/2003</t>
  </si>
  <si>
    <t>30/9/2002</t>
  </si>
  <si>
    <t xml:space="preserve">   9 months cumulative</t>
  </si>
  <si>
    <t>MCB</t>
  </si>
  <si>
    <t>LFP</t>
  </si>
  <si>
    <t>MPSB</t>
  </si>
  <si>
    <t>MPMSB</t>
  </si>
  <si>
    <t>SBSB</t>
  </si>
  <si>
    <t>GROUP</t>
  </si>
  <si>
    <t>Last Q</t>
  </si>
  <si>
    <t>Cumulataive</t>
  </si>
  <si>
    <t>TOTAL</t>
  </si>
  <si>
    <t>Adjustments</t>
  </si>
  <si>
    <t>Dr</t>
  </si>
  <si>
    <t>Cr</t>
  </si>
  <si>
    <t>MPM</t>
  </si>
  <si>
    <t>for the Quarter Ended 30th September 2003</t>
  </si>
  <si>
    <t>Goodwill</t>
  </si>
  <si>
    <t xml:space="preserve">      MENTIGA </t>
  </si>
  <si>
    <t xml:space="preserve">        (Company No: 10289-K)</t>
  </si>
  <si>
    <t>30 Sept 2003</t>
  </si>
  <si>
    <t>EON Bank Berhad</t>
  </si>
  <si>
    <t>Affin Bank Berhad</t>
  </si>
  <si>
    <t>HSBC Bank Malaysia Berhad</t>
  </si>
  <si>
    <t>Bumiputra-Commerce Bank Berhad</t>
  </si>
  <si>
    <t>Name of Bank</t>
  </si>
  <si>
    <t>Balance as at</t>
  </si>
  <si>
    <t>30th Sept 2003</t>
  </si>
  <si>
    <t>Amount settled</t>
  </si>
  <si>
    <t>on 30th Sept 03</t>
  </si>
  <si>
    <t>Gain</t>
  </si>
  <si>
    <t>RM ' 000</t>
  </si>
  <si>
    <t>As at 1 July 2003</t>
  </si>
  <si>
    <t>As at 30 September 2003</t>
  </si>
  <si>
    <t>Net Profit(loss) before tax</t>
  </si>
  <si>
    <t xml:space="preserve">  - Foreign exchange gain(loss)</t>
  </si>
  <si>
    <t>Cash and cash equivalent B/f as at 30 June 2003</t>
  </si>
  <si>
    <t>Cash and cash equivalent C/f as at 30 September 2003</t>
  </si>
  <si>
    <t>Receivables</t>
  </si>
  <si>
    <t>Cash</t>
  </si>
  <si>
    <t>Repayments of borrowings</t>
  </si>
  <si>
    <t>Net cash flow from operating activities</t>
  </si>
  <si>
    <t xml:space="preserve">           (Company No: 10289-K)</t>
  </si>
  <si>
    <t xml:space="preserve">          (Incorporated in Malaysia)</t>
  </si>
  <si>
    <t xml:space="preserve">  AND ITS SUBSIDIARIES</t>
  </si>
  <si>
    <t xml:space="preserve">       CORPORATION  BERHAD </t>
  </si>
  <si>
    <t xml:space="preserve"> MENTIGA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</si>
</sst>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  <numFmt numFmtId="174" formatCode="#,##0_);[Red]\(#,##0_);&quot;-&quot;"/>
    <numFmt numFmtId="175" formatCode="0.00_)"/>
  </numFmts>
  <fonts count="16">
    <font>
      <sz val="10"/>
      <name val="Arial"/>
      <family val="0"/>
    </font>
    <font>
      <sz val="10"/>
      <name val="Geneva"/>
      <family val="0"/>
    </font>
    <font>
      <b/>
      <i/>
      <sz val="16"/>
      <name val="Helv"/>
      <family val="0"/>
    </font>
    <font>
      <sz val="9"/>
      <name val="CG Times"/>
      <family val="1"/>
    </font>
    <font>
      <b/>
      <sz val="9"/>
      <name val="CG Times"/>
      <family val="1"/>
    </font>
    <font>
      <u val="single"/>
      <sz val="9"/>
      <name val="CG Times"/>
      <family val="1"/>
    </font>
    <font>
      <b/>
      <i/>
      <sz val="9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9"/>
      <name val="Arial"/>
      <family val="0"/>
    </font>
    <font>
      <b/>
      <sz val="14"/>
      <name val="CG Times"/>
      <family val="0"/>
    </font>
    <font>
      <b/>
      <sz val="14"/>
      <name val="Graphis-Oblique"/>
      <family val="1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2" fillId="0" borderId="0">
      <alignment/>
      <protection/>
    </xf>
    <xf numFmtId="9" fontId="0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15" applyNumberFormat="1" applyFont="1" applyAlignment="1">
      <alignment/>
    </xf>
    <xf numFmtId="37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7" fontId="3" fillId="0" borderId="3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0" applyNumberFormat="1" applyFont="1" applyAlignment="1">
      <alignment/>
    </xf>
    <xf numFmtId="37" fontId="7" fillId="0" borderId="1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71" fontId="3" fillId="0" borderId="0" xfId="15" applyFont="1" applyAlignment="1">
      <alignment/>
    </xf>
    <xf numFmtId="0" fontId="4" fillId="0" borderId="0" xfId="0" applyFont="1" applyAlignment="1">
      <alignment horizontal="center"/>
    </xf>
    <xf numFmtId="172" fontId="7" fillId="0" borderId="1" xfId="15" applyNumberFormat="1" applyFont="1" applyBorder="1" applyAlignment="1">
      <alignment/>
    </xf>
    <xf numFmtId="172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37" fontId="12" fillId="0" borderId="1" xfId="0" applyNumberFormat="1" applyFont="1" applyBorder="1" applyAlignment="1">
      <alignment/>
    </xf>
    <xf numFmtId="37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39" fontId="12" fillId="0" borderId="0" xfId="0" applyNumberFormat="1" applyFont="1" applyAlignment="1">
      <alignment/>
    </xf>
    <xf numFmtId="37" fontId="12" fillId="0" borderId="6" xfId="0" applyNumberFormat="1" applyFont="1" applyBorder="1" applyAlignment="1">
      <alignment/>
    </xf>
    <xf numFmtId="37" fontId="12" fillId="0" borderId="3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7" fontId="12" fillId="0" borderId="11" xfId="0" applyNumberFormat="1" applyFont="1" applyBorder="1" applyAlignment="1">
      <alignment/>
    </xf>
    <xf numFmtId="37" fontId="12" fillId="0" borderId="12" xfId="0" applyNumberFormat="1" applyFont="1" applyBorder="1" applyAlignment="1">
      <alignment/>
    </xf>
    <xf numFmtId="37" fontId="12" fillId="0" borderId="13" xfId="0" applyNumberFormat="1" applyFont="1" applyBorder="1" applyAlignment="1">
      <alignment/>
    </xf>
    <xf numFmtId="37" fontId="12" fillId="0" borderId="14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12" fillId="0" borderId="11" xfId="0" applyNumberFormat="1" applyFont="1" applyBorder="1" applyAlignment="1">
      <alignment/>
    </xf>
    <xf numFmtId="3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7" fontId="0" fillId="0" borderId="3" xfId="0" applyNumberFormat="1" applyBorder="1" applyAlignment="1">
      <alignment vertical="center"/>
    </xf>
    <xf numFmtId="3" fontId="12" fillId="0" borderId="11" xfId="0" applyNumberFormat="1" applyFont="1" applyBorder="1" applyAlignment="1">
      <alignment/>
    </xf>
    <xf numFmtId="37" fontId="12" fillId="0" borderId="15" xfId="0" applyNumberFormat="1" applyFont="1" applyBorder="1" applyAlignment="1">
      <alignment/>
    </xf>
    <xf numFmtId="37" fontId="12" fillId="0" borderId="16" xfId="0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37" fontId="7" fillId="0" borderId="12" xfId="0" applyNumberFormat="1" applyFont="1" applyBorder="1" applyAlignment="1">
      <alignment/>
    </xf>
    <xf numFmtId="37" fontId="12" fillId="0" borderId="17" xfId="0" applyNumberFormat="1" applyFont="1" applyBorder="1" applyAlignment="1">
      <alignment/>
    </xf>
    <xf numFmtId="37" fontId="12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  <cellStyle name="Tab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0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94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94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003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3"/>
  <sheetViews>
    <sheetView workbookViewId="0" topLeftCell="A1">
      <selection activeCell="W29" sqref="W29"/>
    </sheetView>
  </sheetViews>
  <sheetFormatPr defaultColWidth="9.140625" defaultRowHeight="12.75"/>
  <cols>
    <col min="1" max="1" width="3.421875" style="0" customWidth="1"/>
    <col min="2" max="2" width="2.7109375" style="0" customWidth="1"/>
    <col min="3" max="3" width="11.8515625" style="0" customWidth="1"/>
    <col min="4" max="4" width="7.8515625" style="0" customWidth="1"/>
    <col min="5" max="5" width="2.421875" style="0" customWidth="1"/>
    <col min="8" max="8" width="3.140625" style="0" customWidth="1"/>
    <col min="10" max="10" width="6.00390625" style="0" customWidth="1"/>
    <col min="12" max="12" width="3.7109375" style="0" customWidth="1"/>
    <col min="13" max="13" width="12.7109375" style="0" customWidth="1"/>
    <col min="20" max="20" width="7.8515625" style="0" customWidth="1"/>
    <col min="22" max="22" width="2.7109375" style="0" customWidth="1"/>
    <col min="23" max="23" width="10.00390625" style="0" customWidth="1"/>
  </cols>
  <sheetData>
    <row r="1" spans="1:5" ht="12.75">
      <c r="A1" s="1"/>
      <c r="B1" s="1"/>
      <c r="C1" s="1"/>
      <c r="D1" s="1"/>
      <c r="E1" s="10"/>
    </row>
    <row r="2" spans="1:26" ht="12.75">
      <c r="A2" s="1"/>
      <c r="B2" s="1"/>
      <c r="C2" s="1"/>
      <c r="D2" s="1"/>
      <c r="E2" s="2"/>
      <c r="F2" s="2" t="s">
        <v>64</v>
      </c>
      <c r="G2" s="1"/>
      <c r="H2" s="1"/>
      <c r="I2" s="1"/>
      <c r="J2" s="1"/>
      <c r="M2" s="1"/>
      <c r="N2" s="1"/>
      <c r="O2" s="1"/>
      <c r="P2" s="2"/>
      <c r="Q2" s="2"/>
      <c r="R2" s="1"/>
      <c r="S2" s="1"/>
      <c r="T2" s="1"/>
      <c r="U2" s="1"/>
      <c r="X2" s="1"/>
      <c r="Y2" s="1"/>
      <c r="Z2" s="1"/>
    </row>
    <row r="3" spans="1:26" ht="12.75">
      <c r="A3" s="1"/>
      <c r="B3" s="1"/>
      <c r="C3" s="1"/>
      <c r="D3" s="1"/>
      <c r="E3" s="1"/>
      <c r="F3" s="1" t="s">
        <v>11</v>
      </c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</row>
    <row r="4" spans="1:15" ht="12.75">
      <c r="A4" s="1"/>
      <c r="B4" s="1"/>
      <c r="C4" s="1"/>
      <c r="D4" s="1"/>
      <c r="E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26"/>
      <c r="E5" s="26" t="s">
        <v>21</v>
      </c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25"/>
      <c r="G6" s="1"/>
      <c r="H6" s="25" t="s">
        <v>77</v>
      </c>
      <c r="I6" s="25"/>
      <c r="J6" s="25"/>
      <c r="K6" s="25"/>
      <c r="L6" s="25"/>
      <c r="M6" s="25"/>
      <c r="N6" s="1"/>
      <c r="O6" s="1"/>
    </row>
    <row r="7" spans="1:5" ht="12.75">
      <c r="A7" s="1"/>
      <c r="B7" s="1"/>
      <c r="C7" s="1"/>
      <c r="D7" s="1"/>
      <c r="E7" s="25"/>
    </row>
    <row r="8" spans="1:23" ht="12.75">
      <c r="A8" s="1"/>
      <c r="B8" s="1"/>
      <c r="C8" s="1"/>
      <c r="D8" s="1"/>
      <c r="E8" s="1"/>
      <c r="W8" t="s">
        <v>87</v>
      </c>
    </row>
    <row r="9" spans="1:23" ht="12.75">
      <c r="A9" s="1"/>
      <c r="B9" s="1"/>
      <c r="C9" s="1"/>
      <c r="D9" s="1"/>
      <c r="E9" s="1"/>
      <c r="G9" s="86" t="s">
        <v>60</v>
      </c>
      <c r="H9" s="86"/>
      <c r="I9" s="86"/>
      <c r="J9" s="1"/>
      <c r="K9" s="86" t="s">
        <v>80</v>
      </c>
      <c r="L9" s="86"/>
      <c r="M9" s="86"/>
      <c r="O9" s="35" t="s">
        <v>81</v>
      </c>
      <c r="P9" s="35" t="s">
        <v>82</v>
      </c>
      <c r="Q9" s="35" t="s">
        <v>83</v>
      </c>
      <c r="R9" s="35" t="s">
        <v>84</v>
      </c>
      <c r="S9" s="35" t="s">
        <v>85</v>
      </c>
      <c r="T9" s="36" t="s">
        <v>95</v>
      </c>
      <c r="U9" s="35" t="s">
        <v>86</v>
      </c>
      <c r="W9" s="35" t="s">
        <v>88</v>
      </c>
    </row>
    <row r="10" spans="1:21" ht="12.75">
      <c r="A10" s="1"/>
      <c r="B10" s="1"/>
      <c r="C10" s="1"/>
      <c r="D10" s="1"/>
      <c r="E10" s="1"/>
      <c r="G10" s="13" t="s">
        <v>78</v>
      </c>
      <c r="H10" s="1"/>
      <c r="I10" s="13" t="s">
        <v>79</v>
      </c>
      <c r="J10" s="1"/>
      <c r="K10" s="13" t="s">
        <v>78</v>
      </c>
      <c r="L10" s="1"/>
      <c r="M10" s="13" t="s">
        <v>79</v>
      </c>
      <c r="O10" s="11" t="s">
        <v>0</v>
      </c>
      <c r="P10" s="11" t="s">
        <v>0</v>
      </c>
      <c r="Q10" s="11" t="s">
        <v>0</v>
      </c>
      <c r="R10" s="11" t="s">
        <v>0</v>
      </c>
      <c r="S10" s="11" t="s">
        <v>0</v>
      </c>
      <c r="T10" s="36"/>
      <c r="U10" s="40"/>
    </row>
    <row r="11" spans="1:21" ht="12.75">
      <c r="A11" s="1"/>
      <c r="B11" s="1"/>
      <c r="C11" s="1"/>
      <c r="D11" s="1"/>
      <c r="E11" s="1"/>
      <c r="G11" s="11" t="s">
        <v>0</v>
      </c>
      <c r="H11" s="1"/>
      <c r="I11" s="11" t="s">
        <v>0</v>
      </c>
      <c r="J11" s="1"/>
      <c r="K11" s="11" t="s">
        <v>0</v>
      </c>
      <c r="L11" s="1"/>
      <c r="M11" s="11" t="s">
        <v>0</v>
      </c>
      <c r="O11" s="36"/>
      <c r="P11" s="36"/>
      <c r="Q11" s="36"/>
      <c r="R11" s="36"/>
      <c r="S11" s="36"/>
      <c r="T11" s="36"/>
      <c r="U11" s="40"/>
    </row>
    <row r="12" spans="1:21" ht="12.75">
      <c r="A12" s="1"/>
      <c r="B12" s="1"/>
      <c r="C12" s="1"/>
      <c r="D12" s="1"/>
      <c r="E12" s="1"/>
      <c r="G12" s="11"/>
      <c r="H12" s="1"/>
      <c r="I12" s="11"/>
      <c r="J12" s="1"/>
      <c r="K12" s="11"/>
      <c r="L12" s="1"/>
      <c r="M12" s="11"/>
      <c r="O12" s="36"/>
      <c r="P12" s="36"/>
      <c r="Q12" s="36"/>
      <c r="R12" s="36"/>
      <c r="S12" s="36"/>
      <c r="T12" s="36"/>
      <c r="U12" s="40"/>
    </row>
    <row r="13" spans="1:23" ht="12.75">
      <c r="A13" s="1"/>
      <c r="B13" s="1"/>
      <c r="C13" s="4" t="s">
        <v>12</v>
      </c>
      <c r="D13" s="4"/>
      <c r="E13" s="4"/>
      <c r="G13" s="39">
        <f>+U13</f>
        <v>1054</v>
      </c>
      <c r="H13" s="40"/>
      <c r="I13" s="39">
        <v>640</v>
      </c>
      <c r="J13" s="40"/>
      <c r="K13" s="39">
        <f>+G13+W13</f>
        <v>2275</v>
      </c>
      <c r="L13" s="40"/>
      <c r="M13" s="39">
        <f>1486+I13</f>
        <v>2126</v>
      </c>
      <c r="O13" s="37">
        <v>303</v>
      </c>
      <c r="P13" s="37">
        <v>38</v>
      </c>
      <c r="Q13" s="37">
        <v>451</v>
      </c>
      <c r="R13" s="37">
        <v>0</v>
      </c>
      <c r="S13" s="37">
        <v>262</v>
      </c>
      <c r="T13" s="37"/>
      <c r="U13" s="39">
        <f>SUM(O13:S13)</f>
        <v>1054</v>
      </c>
      <c r="W13" s="4">
        <v>1221</v>
      </c>
    </row>
    <row r="14" spans="1:23" ht="12.75">
      <c r="A14" s="1"/>
      <c r="B14" s="1"/>
      <c r="C14" s="4" t="s">
        <v>22</v>
      </c>
      <c r="D14" s="4"/>
      <c r="E14" s="4"/>
      <c r="G14" s="39">
        <f>+U14</f>
        <v>-1621</v>
      </c>
      <c r="H14" s="40"/>
      <c r="I14" s="39">
        <v>-745</v>
      </c>
      <c r="J14" s="40"/>
      <c r="K14" s="39">
        <f>+G14+W14</f>
        <v>-4247</v>
      </c>
      <c r="L14" s="40"/>
      <c r="M14" s="39">
        <f>-615+I14</f>
        <v>-1360</v>
      </c>
      <c r="O14" s="37">
        <v>-592</v>
      </c>
      <c r="P14" s="37">
        <v>0</v>
      </c>
      <c r="Q14" s="37">
        <f>-48-72</f>
        <v>-120</v>
      </c>
      <c r="R14" s="37">
        <v>0</v>
      </c>
      <c r="S14" s="37">
        <v>-735</v>
      </c>
      <c r="T14" s="37">
        <v>-174</v>
      </c>
      <c r="U14" s="39">
        <f>SUM(O14:T14)</f>
        <v>-1621</v>
      </c>
      <c r="W14" s="4">
        <v>-2626</v>
      </c>
    </row>
    <row r="15" spans="1:23" ht="6.75" customHeight="1">
      <c r="A15" s="6"/>
      <c r="B15" s="1"/>
      <c r="C15" s="4"/>
      <c r="D15" s="4"/>
      <c r="E15" s="4"/>
      <c r="G15" s="43"/>
      <c r="H15" s="40"/>
      <c r="I15" s="43"/>
      <c r="J15" s="40"/>
      <c r="K15" s="42"/>
      <c r="L15" s="40"/>
      <c r="M15" s="42"/>
      <c r="O15" s="38"/>
      <c r="P15" s="38"/>
      <c r="Q15" s="38"/>
      <c r="R15" s="38"/>
      <c r="S15" s="38"/>
      <c r="T15" s="37"/>
      <c r="U15" s="41"/>
      <c r="W15" s="8"/>
    </row>
    <row r="16" spans="1:23" ht="6.75" customHeight="1">
      <c r="A16" s="6"/>
      <c r="B16" s="1"/>
      <c r="C16" s="4"/>
      <c r="D16" s="4"/>
      <c r="E16" s="4"/>
      <c r="G16" s="39"/>
      <c r="H16" s="40"/>
      <c r="I16" s="39"/>
      <c r="J16" s="40"/>
      <c r="K16" s="40"/>
      <c r="L16" s="40"/>
      <c r="M16" s="40"/>
      <c r="O16" s="37"/>
      <c r="P16" s="37"/>
      <c r="Q16" s="37"/>
      <c r="R16" s="37"/>
      <c r="S16" s="37"/>
      <c r="T16" s="37"/>
      <c r="U16" s="40"/>
      <c r="W16" s="4"/>
    </row>
    <row r="17" spans="1:23" ht="12.75">
      <c r="A17" s="6"/>
      <c r="B17" s="1"/>
      <c r="C17" s="4"/>
      <c r="D17" s="4"/>
      <c r="E17" s="4"/>
      <c r="F17" s="34"/>
      <c r="G17" s="39">
        <f>+U17</f>
        <v>-567</v>
      </c>
      <c r="H17" s="40"/>
      <c r="I17" s="39">
        <f>+I13+I14</f>
        <v>-105</v>
      </c>
      <c r="J17" s="40"/>
      <c r="K17" s="39">
        <f>+G17+W17</f>
        <v>-1972</v>
      </c>
      <c r="L17" s="40"/>
      <c r="M17" s="39">
        <f>+M13+M14</f>
        <v>766</v>
      </c>
      <c r="O17" s="4">
        <f>+O13+O14</f>
        <v>-289</v>
      </c>
      <c r="P17" s="4">
        <f>+P13+P14</f>
        <v>38</v>
      </c>
      <c r="Q17" s="4">
        <f>+Q13+Q14</f>
        <v>331</v>
      </c>
      <c r="R17" s="4">
        <f>+R13+R14</f>
        <v>0</v>
      </c>
      <c r="S17" s="4">
        <f>+S13+S14</f>
        <v>-473</v>
      </c>
      <c r="T17" s="37"/>
      <c r="U17" s="39">
        <f>+U13+U14</f>
        <v>-567</v>
      </c>
      <c r="W17" s="4">
        <f>+W13+W14</f>
        <v>-1405</v>
      </c>
    </row>
    <row r="18" spans="1:23" ht="12.75">
      <c r="A18" s="6"/>
      <c r="B18" s="1"/>
      <c r="C18" s="4"/>
      <c r="D18" s="4"/>
      <c r="E18" s="4"/>
      <c r="G18" s="39"/>
      <c r="H18" s="40"/>
      <c r="I18" s="39"/>
      <c r="J18" s="40"/>
      <c r="K18" s="40"/>
      <c r="L18" s="40"/>
      <c r="M18" s="40"/>
      <c r="O18" s="37"/>
      <c r="P18" s="37"/>
      <c r="Q18" s="37"/>
      <c r="R18" s="37"/>
      <c r="S18" s="37"/>
      <c r="T18" s="37"/>
      <c r="U18" s="40"/>
      <c r="W18" s="4"/>
    </row>
    <row r="19" spans="1:23" ht="12.75">
      <c r="A19" s="6"/>
      <c r="B19" s="1"/>
      <c r="C19" s="4" t="s">
        <v>23</v>
      </c>
      <c r="D19" s="4"/>
      <c r="E19" s="4"/>
      <c r="G19" s="39">
        <f>+U19</f>
        <v>32540</v>
      </c>
      <c r="H19" s="40"/>
      <c r="I19" s="39">
        <v>-1</v>
      </c>
      <c r="J19" s="40"/>
      <c r="K19" s="39">
        <f>+G19+W19</f>
        <v>33804</v>
      </c>
      <c r="L19" s="40"/>
      <c r="M19" s="39">
        <f>746+I19</f>
        <v>745</v>
      </c>
      <c r="O19" s="37">
        <f>33015-475</f>
        <v>32540</v>
      </c>
      <c r="P19" s="37">
        <v>0</v>
      </c>
      <c r="Q19" s="37">
        <v>0</v>
      </c>
      <c r="R19" s="37">
        <v>0</v>
      </c>
      <c r="S19" s="37"/>
      <c r="T19" s="37"/>
      <c r="U19" s="39">
        <f>SUM(O19:S19)</f>
        <v>32540</v>
      </c>
      <c r="W19" s="4">
        <v>1264</v>
      </c>
    </row>
    <row r="20" spans="1:23" ht="12.75">
      <c r="A20" s="6"/>
      <c r="B20" s="1"/>
      <c r="C20" s="4" t="s">
        <v>24</v>
      </c>
      <c r="D20" s="4"/>
      <c r="E20" s="4"/>
      <c r="G20" s="39">
        <f>+U20</f>
        <v>-1309</v>
      </c>
      <c r="H20" s="40"/>
      <c r="I20" s="39">
        <f>-1650+717-267+5</f>
        <v>-1195</v>
      </c>
      <c r="J20" s="40"/>
      <c r="K20" s="39">
        <f>+G20+W20</f>
        <v>-1395</v>
      </c>
      <c r="L20" s="40"/>
      <c r="M20" s="39">
        <f>-2018+I20</f>
        <v>-3213</v>
      </c>
      <c r="O20" s="37">
        <f>-953+475</f>
        <v>-478</v>
      </c>
      <c r="P20" s="37">
        <v>-66</v>
      </c>
      <c r="Q20" s="37">
        <f>-36-142</f>
        <v>-178</v>
      </c>
      <c r="R20" s="37">
        <v>-3</v>
      </c>
      <c r="S20" s="37">
        <v>-584</v>
      </c>
      <c r="T20" s="37"/>
      <c r="U20" s="39">
        <f>SUM(O20:S20)</f>
        <v>-1309</v>
      </c>
      <c r="W20" s="4">
        <v>-86</v>
      </c>
    </row>
    <row r="21" spans="1:23" ht="12.75">
      <c r="A21" s="6"/>
      <c r="B21" s="1"/>
      <c r="C21" s="4" t="s">
        <v>25</v>
      </c>
      <c r="D21" s="4"/>
      <c r="E21" s="4"/>
      <c r="G21" s="39">
        <f>+U21</f>
        <v>-640</v>
      </c>
      <c r="H21" s="40"/>
      <c r="I21" s="39">
        <v>-238</v>
      </c>
      <c r="J21" s="40"/>
      <c r="K21" s="39">
        <f>+G21+W21</f>
        <v>-1355</v>
      </c>
      <c r="L21" s="40"/>
      <c r="M21" s="39">
        <f>+I21</f>
        <v>-238</v>
      </c>
      <c r="O21" s="37">
        <v>-570</v>
      </c>
      <c r="P21" s="37">
        <v>0</v>
      </c>
      <c r="Q21" s="37">
        <f>-43-23-4</f>
        <v>-70</v>
      </c>
      <c r="R21" s="37">
        <v>0</v>
      </c>
      <c r="S21" s="37"/>
      <c r="T21" s="37"/>
      <c r="U21" s="39">
        <f>SUM(O21:S21)</f>
        <v>-640</v>
      </c>
      <c r="W21" s="4">
        <v>-715</v>
      </c>
    </row>
    <row r="22" spans="1:23" ht="12.75">
      <c r="A22" s="1"/>
      <c r="B22" s="1"/>
      <c r="C22" s="4" t="s">
        <v>26</v>
      </c>
      <c r="D22" s="4"/>
      <c r="E22" s="4"/>
      <c r="G22" s="39">
        <f>+U22</f>
        <v>-33</v>
      </c>
      <c r="H22" s="40"/>
      <c r="I22" s="39">
        <v>-30</v>
      </c>
      <c r="J22" s="40"/>
      <c r="K22" s="39">
        <f>+G22+W22</f>
        <v>-94</v>
      </c>
      <c r="L22" s="40"/>
      <c r="M22" s="39">
        <v>-30</v>
      </c>
      <c r="O22" s="37">
        <v>-26</v>
      </c>
      <c r="P22" s="37">
        <v>0</v>
      </c>
      <c r="Q22" s="37">
        <v>-7</v>
      </c>
      <c r="R22" s="37">
        <v>0</v>
      </c>
      <c r="S22" s="37"/>
      <c r="T22" s="37"/>
      <c r="U22" s="39">
        <f>SUM(O22:S22)</f>
        <v>-33</v>
      </c>
      <c r="W22" s="4">
        <v>-61</v>
      </c>
    </row>
    <row r="23" spans="1:23" ht="6.75" customHeight="1">
      <c r="A23" s="6"/>
      <c r="B23" s="1"/>
      <c r="C23" s="4"/>
      <c r="D23" s="4"/>
      <c r="E23" s="4"/>
      <c r="G23" s="43"/>
      <c r="H23" s="40"/>
      <c r="I23" s="43"/>
      <c r="J23" s="40"/>
      <c r="K23" s="42"/>
      <c r="L23" s="40"/>
      <c r="M23" s="42"/>
      <c r="O23" s="38"/>
      <c r="P23" s="38"/>
      <c r="Q23" s="38"/>
      <c r="R23" s="38"/>
      <c r="S23" s="38"/>
      <c r="T23" s="37"/>
      <c r="U23" s="42"/>
      <c r="W23" s="8"/>
    </row>
    <row r="24" spans="1:23" ht="7.5" customHeight="1">
      <c r="A24" s="1"/>
      <c r="B24" s="1"/>
      <c r="C24" s="4"/>
      <c r="D24" s="4"/>
      <c r="E24" s="4"/>
      <c r="G24" s="39"/>
      <c r="H24" s="40"/>
      <c r="I24" s="39"/>
      <c r="J24" s="40"/>
      <c r="K24" s="40"/>
      <c r="L24" s="40"/>
      <c r="M24" s="40"/>
      <c r="O24" s="37"/>
      <c r="P24" s="37"/>
      <c r="Q24" s="37"/>
      <c r="R24" s="37"/>
      <c r="S24" s="37"/>
      <c r="T24" s="37"/>
      <c r="U24" s="40"/>
      <c r="W24" s="1"/>
    </row>
    <row r="25" spans="1:23" ht="12.75">
      <c r="A25" s="1"/>
      <c r="B25" s="1"/>
      <c r="C25" s="4" t="s">
        <v>31</v>
      </c>
      <c r="D25" s="4"/>
      <c r="E25" s="4"/>
      <c r="F25" s="34"/>
      <c r="G25" s="39">
        <f>+U25</f>
        <v>29991</v>
      </c>
      <c r="H25" s="40"/>
      <c r="I25" s="39">
        <f>SUM(I17:I22)</f>
        <v>-1569</v>
      </c>
      <c r="J25" s="40"/>
      <c r="K25" s="39">
        <f>+G25+W25</f>
        <v>28988</v>
      </c>
      <c r="L25" s="40"/>
      <c r="M25" s="39">
        <f>SUM(M17:M22)</f>
        <v>-1970</v>
      </c>
      <c r="O25" s="4">
        <f>SUM(O17:O22)</f>
        <v>31177</v>
      </c>
      <c r="P25" s="4">
        <f>SUM(P17:P22)</f>
        <v>-28</v>
      </c>
      <c r="Q25" s="4">
        <f>SUM(Q17:Q22)</f>
        <v>76</v>
      </c>
      <c r="R25" s="4">
        <f>SUM(R17:R22)</f>
        <v>-3</v>
      </c>
      <c r="S25" s="4">
        <f>SUM(S17:S22)</f>
        <v>-1057</v>
      </c>
      <c r="T25" s="37"/>
      <c r="U25" s="39">
        <f>SUM(U17:U22)</f>
        <v>29991</v>
      </c>
      <c r="W25" s="4">
        <f>SUM(W17:W22)</f>
        <v>-1003</v>
      </c>
    </row>
    <row r="26" spans="1:23" ht="12.75">
      <c r="A26" s="1"/>
      <c r="B26" s="1"/>
      <c r="C26" s="4" t="s">
        <v>27</v>
      </c>
      <c r="D26" s="4"/>
      <c r="E26" s="4"/>
      <c r="G26" s="39">
        <f>+U26</f>
        <v>-1579</v>
      </c>
      <c r="H26" s="40"/>
      <c r="I26" s="39">
        <v>-1553</v>
      </c>
      <c r="J26" s="40"/>
      <c r="K26" s="39">
        <f>+G26+W26</f>
        <v>-4628</v>
      </c>
      <c r="L26" s="40"/>
      <c r="M26" s="39">
        <f>-2875+I26</f>
        <v>-4428</v>
      </c>
      <c r="O26" s="37">
        <v>-804</v>
      </c>
      <c r="P26" s="37">
        <v>0</v>
      </c>
      <c r="Q26" s="37">
        <v>-158</v>
      </c>
      <c r="R26" s="37"/>
      <c r="S26" s="37">
        <v>-617</v>
      </c>
      <c r="T26" s="37"/>
      <c r="U26" s="39">
        <f>SUM(O26:S26)</f>
        <v>-1579</v>
      </c>
      <c r="W26" s="4">
        <v>-3049</v>
      </c>
    </row>
    <row r="27" spans="1:23" ht="12.75">
      <c r="A27" s="1"/>
      <c r="B27" s="1"/>
      <c r="C27" s="4" t="s">
        <v>28</v>
      </c>
      <c r="D27" s="4"/>
      <c r="E27" s="4"/>
      <c r="G27" s="39">
        <f>+U27</f>
        <v>0</v>
      </c>
      <c r="H27" s="40"/>
      <c r="I27" s="39">
        <v>0</v>
      </c>
      <c r="J27" s="40"/>
      <c r="K27" s="39">
        <f>+G27+W27</f>
        <v>0</v>
      </c>
      <c r="L27" s="40"/>
      <c r="M27" s="40">
        <v>0</v>
      </c>
      <c r="O27" s="37">
        <v>0</v>
      </c>
      <c r="P27" s="37">
        <v>0</v>
      </c>
      <c r="Q27" s="37"/>
      <c r="R27" s="37"/>
      <c r="S27" s="37"/>
      <c r="T27" s="37"/>
      <c r="U27" s="39">
        <f>SUM(O27:S27)</f>
        <v>0</v>
      </c>
      <c r="W27" s="4">
        <v>0</v>
      </c>
    </row>
    <row r="28" spans="1:23" ht="12.75">
      <c r="A28" s="1"/>
      <c r="B28" s="1"/>
      <c r="C28" s="4" t="s">
        <v>29</v>
      </c>
      <c r="D28" s="4"/>
      <c r="E28" s="4"/>
      <c r="G28" s="39">
        <f>+U28</f>
        <v>0</v>
      </c>
      <c r="H28" s="40"/>
      <c r="I28" s="39">
        <v>0</v>
      </c>
      <c r="J28" s="40"/>
      <c r="K28" s="39">
        <f>+G28+W28</f>
        <v>0</v>
      </c>
      <c r="L28" s="40"/>
      <c r="M28" s="40">
        <v>0</v>
      </c>
      <c r="O28" s="37">
        <v>0</v>
      </c>
      <c r="P28" s="37">
        <v>0</v>
      </c>
      <c r="Q28" s="37"/>
      <c r="R28" s="37"/>
      <c r="S28" s="37"/>
      <c r="T28" s="37"/>
      <c r="U28" s="39">
        <f>SUM(O28:S28)</f>
        <v>0</v>
      </c>
      <c r="W28" s="4">
        <v>0</v>
      </c>
    </row>
    <row r="29" spans="1:23" ht="5.25" customHeight="1">
      <c r="A29" s="1"/>
      <c r="B29" s="1"/>
      <c r="C29" s="4"/>
      <c r="D29" s="4"/>
      <c r="E29" s="4"/>
      <c r="G29" s="43"/>
      <c r="H29" s="40"/>
      <c r="I29" s="43"/>
      <c r="J29" s="40"/>
      <c r="K29" s="42"/>
      <c r="L29" s="40"/>
      <c r="M29" s="42"/>
      <c r="O29" s="38"/>
      <c r="P29" s="38"/>
      <c r="Q29" s="38"/>
      <c r="R29" s="38"/>
      <c r="S29" s="38"/>
      <c r="T29" s="37"/>
      <c r="U29" s="42"/>
      <c r="W29" s="8"/>
    </row>
    <row r="30" spans="1:23" ht="4.5" customHeight="1">
      <c r="A30" s="1"/>
      <c r="B30" s="1"/>
      <c r="C30" s="4"/>
      <c r="D30" s="4"/>
      <c r="E30" s="4"/>
      <c r="G30" s="39"/>
      <c r="H30" s="40"/>
      <c r="I30" s="39"/>
      <c r="J30" s="40"/>
      <c r="K30" s="40"/>
      <c r="L30" s="40"/>
      <c r="M30" s="40"/>
      <c r="O30" s="37"/>
      <c r="P30" s="37"/>
      <c r="Q30" s="37"/>
      <c r="R30" s="37"/>
      <c r="S30" s="37"/>
      <c r="T30" s="37"/>
      <c r="U30" s="40"/>
      <c r="W30" s="4"/>
    </row>
    <row r="31" spans="1:23" ht="12.75">
      <c r="A31" s="1"/>
      <c r="B31" s="1"/>
      <c r="C31" s="4" t="s">
        <v>30</v>
      </c>
      <c r="D31" s="4"/>
      <c r="E31" s="4"/>
      <c r="G31" s="39">
        <f>+U31</f>
        <v>28412</v>
      </c>
      <c r="H31" s="40"/>
      <c r="I31" s="39">
        <f>SUM(I25:I28)</f>
        <v>-3122</v>
      </c>
      <c r="J31" s="40"/>
      <c r="K31" s="39">
        <f>+G31+W31</f>
        <v>24360</v>
      </c>
      <c r="L31" s="40"/>
      <c r="M31" s="39">
        <f>SUM(M25:M28)</f>
        <v>-6398</v>
      </c>
      <c r="O31" s="4">
        <f>SUM(O25:O28)</f>
        <v>30373</v>
      </c>
      <c r="P31" s="4">
        <f>SUM(P25:P28)</f>
        <v>-28</v>
      </c>
      <c r="Q31" s="4">
        <f>SUM(Q25:Q28)</f>
        <v>-82</v>
      </c>
      <c r="R31" s="4">
        <f>SUM(R25:R28)</f>
        <v>-3</v>
      </c>
      <c r="S31" s="4">
        <f>SUM(S25:S28)</f>
        <v>-1674</v>
      </c>
      <c r="T31" s="37"/>
      <c r="U31" s="39">
        <f>SUM(U25:U28)</f>
        <v>28412</v>
      </c>
      <c r="W31" s="4">
        <f>SUM(W25:W28)</f>
        <v>-4052</v>
      </c>
    </row>
    <row r="32" spans="1:23" ht="12.75">
      <c r="A32" s="1"/>
      <c r="B32" s="1"/>
      <c r="C32" s="4" t="s">
        <v>18</v>
      </c>
      <c r="D32" s="4"/>
      <c r="E32" s="4"/>
      <c r="G32" s="39">
        <f>+U32</f>
        <v>0</v>
      </c>
      <c r="H32" s="40"/>
      <c r="I32" s="39">
        <v>0</v>
      </c>
      <c r="J32" s="40"/>
      <c r="K32" s="39">
        <f>+G32+W32</f>
        <v>0</v>
      </c>
      <c r="L32" s="40"/>
      <c r="M32" s="40">
        <v>0</v>
      </c>
      <c r="O32" s="39">
        <v>0</v>
      </c>
      <c r="P32" s="37">
        <v>0</v>
      </c>
      <c r="Q32" s="37"/>
      <c r="R32" s="37"/>
      <c r="S32" s="37"/>
      <c r="T32" s="37"/>
      <c r="U32" s="39">
        <f>SUM(O32:S32)</f>
        <v>0</v>
      </c>
      <c r="W32" s="4">
        <v>0</v>
      </c>
    </row>
    <row r="33" spans="1:23" ht="5.25" customHeight="1">
      <c r="A33" s="1"/>
      <c r="B33" s="1"/>
      <c r="C33" s="4"/>
      <c r="D33" s="4"/>
      <c r="E33" s="4"/>
      <c r="G33" s="43"/>
      <c r="H33" s="40"/>
      <c r="I33" s="43"/>
      <c r="J33" s="40"/>
      <c r="K33" s="42"/>
      <c r="L33" s="40"/>
      <c r="M33" s="42"/>
      <c r="O33" s="39"/>
      <c r="P33" s="37"/>
      <c r="Q33" s="37"/>
      <c r="R33" s="37"/>
      <c r="S33" s="37"/>
      <c r="T33" s="37"/>
      <c r="U33" s="39"/>
      <c r="W33" s="8"/>
    </row>
    <row r="34" spans="1:21" ht="4.5" customHeight="1">
      <c r="A34" s="7"/>
      <c r="B34" s="1"/>
      <c r="C34" s="4"/>
      <c r="D34" s="4"/>
      <c r="E34" s="4"/>
      <c r="G34" s="39"/>
      <c r="H34" s="40"/>
      <c r="I34" s="39"/>
      <c r="J34" s="40"/>
      <c r="K34" s="40"/>
      <c r="L34" s="40"/>
      <c r="M34" s="40"/>
      <c r="O34" s="38"/>
      <c r="P34" s="38"/>
      <c r="Q34" s="38"/>
      <c r="R34" s="38"/>
      <c r="S34" s="38"/>
      <c r="T34" s="37"/>
      <c r="U34" s="42"/>
    </row>
    <row r="35" spans="1:23" ht="12.75">
      <c r="A35" s="1"/>
      <c r="B35" s="1"/>
      <c r="C35" s="4" t="s">
        <v>32</v>
      </c>
      <c r="D35" s="4"/>
      <c r="E35" s="4"/>
      <c r="G35" s="39">
        <f>+U35</f>
        <v>28412</v>
      </c>
      <c r="H35" s="40"/>
      <c r="I35" s="39">
        <f>+I31+I32</f>
        <v>-3122</v>
      </c>
      <c r="J35" s="40"/>
      <c r="K35" s="39">
        <f>+G35+W35</f>
        <v>24360</v>
      </c>
      <c r="L35" s="40"/>
      <c r="M35" s="39">
        <f>+M31+M32</f>
        <v>-6398</v>
      </c>
      <c r="O35" s="4">
        <f>+O31+O32</f>
        <v>30373</v>
      </c>
      <c r="P35" s="4">
        <f>+P31+P32</f>
        <v>-28</v>
      </c>
      <c r="Q35" s="4">
        <f>+Q31+Q32</f>
        <v>-82</v>
      </c>
      <c r="R35" s="4">
        <f>+R31+R32</f>
        <v>-3</v>
      </c>
      <c r="S35" s="4">
        <f>+S31+S32</f>
        <v>-1674</v>
      </c>
      <c r="T35" s="37"/>
      <c r="U35" s="39">
        <f>+U31+U32</f>
        <v>28412</v>
      </c>
      <c r="W35" s="4">
        <f>+W31+W32</f>
        <v>-4052</v>
      </c>
    </row>
    <row r="36" spans="1:23" ht="12.75">
      <c r="A36" s="1"/>
      <c r="B36" s="1"/>
      <c r="C36" s="4" t="s">
        <v>33</v>
      </c>
      <c r="D36" s="4"/>
      <c r="E36" s="4"/>
      <c r="G36" s="39">
        <f>+U36</f>
        <v>0</v>
      </c>
      <c r="H36" s="40"/>
      <c r="I36" s="39">
        <v>0</v>
      </c>
      <c r="J36" s="40"/>
      <c r="K36" s="39">
        <f>+G36+W36</f>
        <v>0</v>
      </c>
      <c r="L36" s="40"/>
      <c r="M36" s="39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37"/>
      <c r="U36" s="39">
        <f>SUM(O36:S36)</f>
        <v>0</v>
      </c>
      <c r="W36" s="8">
        <v>0</v>
      </c>
    </row>
    <row r="37" spans="1:23" ht="6" customHeight="1">
      <c r="A37" s="1"/>
      <c r="B37" s="1"/>
      <c r="C37" s="4"/>
      <c r="D37" s="4"/>
      <c r="E37" s="4"/>
      <c r="G37" s="43"/>
      <c r="H37" s="40"/>
      <c r="I37" s="43"/>
      <c r="J37" s="40"/>
      <c r="K37" s="42"/>
      <c r="L37" s="40"/>
      <c r="M37" s="43"/>
      <c r="O37" s="4"/>
      <c r="P37" s="4"/>
      <c r="Q37" s="4"/>
      <c r="R37" s="4"/>
      <c r="S37" s="4"/>
      <c r="T37" s="37"/>
      <c r="U37" s="39"/>
      <c r="W37" s="4"/>
    </row>
    <row r="38" spans="1:23" ht="6" customHeight="1" thickBot="1">
      <c r="A38" s="1"/>
      <c r="B38" s="1"/>
      <c r="C38" s="4"/>
      <c r="D38" s="4"/>
      <c r="E38" s="4"/>
      <c r="G38" s="39"/>
      <c r="H38" s="40"/>
      <c r="I38" s="39"/>
      <c r="J38" s="40"/>
      <c r="K38" s="40"/>
      <c r="L38" s="40"/>
      <c r="M38" s="39"/>
      <c r="O38" s="8"/>
      <c r="P38" s="8"/>
      <c r="Q38" s="8"/>
      <c r="R38" s="8"/>
      <c r="S38" s="8"/>
      <c r="T38" s="37"/>
      <c r="U38" s="43"/>
      <c r="W38" s="9"/>
    </row>
    <row r="39" spans="1:23" ht="13.5" thickTop="1">
      <c r="A39" s="1"/>
      <c r="B39" s="1"/>
      <c r="C39" s="4" t="s">
        <v>34</v>
      </c>
      <c r="D39" s="4"/>
      <c r="E39" s="4"/>
      <c r="G39" s="39">
        <f>+U39</f>
        <v>28412</v>
      </c>
      <c r="H39" s="40"/>
      <c r="I39" s="39">
        <f>+I35+I36</f>
        <v>-3122</v>
      </c>
      <c r="J39" s="40"/>
      <c r="K39" s="39">
        <f>+G39+W39</f>
        <v>24360</v>
      </c>
      <c r="L39" s="40"/>
      <c r="M39" s="39">
        <f>+M35+M36</f>
        <v>-6398</v>
      </c>
      <c r="O39" s="4">
        <f>+O35+O36</f>
        <v>30373</v>
      </c>
      <c r="P39" s="4">
        <f>+P35+P36</f>
        <v>-28</v>
      </c>
      <c r="Q39" s="4">
        <f>+Q35+Q36</f>
        <v>-82</v>
      </c>
      <c r="R39" s="4">
        <f>+R35+R36</f>
        <v>-3</v>
      </c>
      <c r="S39" s="4">
        <f>+S35+S36</f>
        <v>-1674</v>
      </c>
      <c r="T39" s="37"/>
      <c r="U39" s="39">
        <f>+U35+U36</f>
        <v>28412</v>
      </c>
      <c r="W39" s="34">
        <f>+W35+W36</f>
        <v>-4052</v>
      </c>
    </row>
    <row r="40" spans="1:21" ht="6.75" customHeight="1" thickBot="1">
      <c r="A40" s="1"/>
      <c r="B40" s="1"/>
      <c r="C40" s="4"/>
      <c r="D40" s="4"/>
      <c r="E40" s="4"/>
      <c r="G40" s="44"/>
      <c r="H40" s="40"/>
      <c r="I40" s="44"/>
      <c r="J40" s="40"/>
      <c r="K40" s="45"/>
      <c r="L40" s="40"/>
      <c r="M40" s="45"/>
      <c r="O40" s="9"/>
      <c r="P40" s="9"/>
      <c r="Q40" s="9"/>
      <c r="R40" s="9"/>
      <c r="S40" s="9"/>
      <c r="U40" s="9"/>
    </row>
    <row r="41" spans="1:21" ht="12.75">
      <c r="A41" s="1"/>
      <c r="B41" s="1"/>
      <c r="C41" s="4"/>
      <c r="D41" s="4"/>
      <c r="E41" s="4"/>
      <c r="G41" s="40"/>
      <c r="H41" s="40"/>
      <c r="I41" s="39"/>
      <c r="J41" s="40"/>
      <c r="K41" s="40"/>
      <c r="L41" s="40"/>
      <c r="M41" s="40"/>
      <c r="O41" s="4"/>
      <c r="P41" s="37"/>
      <c r="Q41" s="37"/>
      <c r="R41" s="37"/>
      <c r="S41" s="37"/>
      <c r="T41" s="37"/>
      <c r="U41" s="40"/>
    </row>
    <row r="42" spans="1:23" ht="12.75">
      <c r="A42" s="1"/>
      <c r="B42" s="1"/>
      <c r="C42" s="4" t="s">
        <v>35</v>
      </c>
      <c r="D42" s="4"/>
      <c r="E42" s="4"/>
      <c r="G42" s="46">
        <f>+G39/37500*100</f>
        <v>75.76533333333333</v>
      </c>
      <c r="H42" s="46"/>
      <c r="I42" s="46">
        <f>+I39/37500*100</f>
        <v>-8.325333333333333</v>
      </c>
      <c r="J42" s="46"/>
      <c r="K42" s="46">
        <f>+K39/37500*100</f>
        <v>64.96</v>
      </c>
      <c r="L42" s="46"/>
      <c r="M42" s="46">
        <f>+M39/37500*100</f>
        <v>-17.061333333333334</v>
      </c>
      <c r="W42">
        <f>28412-4052</f>
        <v>24360</v>
      </c>
    </row>
    <row r="43" spans="1:13" ht="12.75">
      <c r="A43" s="1"/>
      <c r="B43" s="1"/>
      <c r="C43" s="4"/>
      <c r="D43" s="4"/>
      <c r="E43" s="4"/>
      <c r="G43" s="39"/>
      <c r="H43" s="39"/>
      <c r="I43" s="39"/>
      <c r="J43" s="39"/>
      <c r="K43" s="39"/>
      <c r="L43" s="39"/>
      <c r="M43" s="40"/>
    </row>
    <row r="44" spans="1:13" ht="12.75">
      <c r="A44" s="1"/>
      <c r="B44" s="1"/>
      <c r="C44" s="4"/>
      <c r="D44" s="4"/>
      <c r="E44" s="4"/>
      <c r="G44" s="39"/>
      <c r="H44" s="39"/>
      <c r="I44" s="39"/>
      <c r="J44" s="39"/>
      <c r="K44" s="39"/>
      <c r="L44" s="39"/>
      <c r="M44" s="40"/>
    </row>
    <row r="45" spans="6:12" ht="12.75">
      <c r="F45" s="83"/>
      <c r="G45" s="34"/>
      <c r="H45" s="34"/>
      <c r="I45" s="34"/>
      <c r="J45" s="34"/>
      <c r="K45" s="34"/>
      <c r="L45" s="34"/>
    </row>
    <row r="46" spans="6:12" ht="12.75">
      <c r="F46" s="83"/>
      <c r="G46" s="34"/>
      <c r="H46" s="34"/>
      <c r="I46" s="34"/>
      <c r="J46" s="34"/>
      <c r="K46" s="34"/>
      <c r="L46" s="34"/>
    </row>
    <row r="47" spans="7:12" ht="12.75">
      <c r="G47" s="34"/>
      <c r="H47" s="34"/>
      <c r="I47" s="34"/>
      <c r="J47" s="34"/>
      <c r="K47" s="34"/>
      <c r="L47" s="34"/>
    </row>
    <row r="48" spans="7:12" ht="12.75">
      <c r="G48" s="34"/>
      <c r="H48" s="34"/>
      <c r="I48" s="34"/>
      <c r="J48" s="34"/>
      <c r="K48" s="34"/>
      <c r="L48" s="34"/>
    </row>
    <row r="49" spans="7:12" ht="12.75">
      <c r="G49" s="34"/>
      <c r="H49" s="34"/>
      <c r="I49" s="34"/>
      <c r="J49" s="34"/>
      <c r="K49" s="34"/>
      <c r="L49" s="34"/>
    </row>
    <row r="50" spans="7:12" ht="12.75">
      <c r="G50" s="34"/>
      <c r="H50" s="34" t="s">
        <v>104</v>
      </c>
      <c r="I50" s="34"/>
      <c r="J50" s="34"/>
      <c r="K50" s="34" t="s">
        <v>106</v>
      </c>
      <c r="L50" s="34"/>
    </row>
    <row r="51" spans="3:14" ht="12.75">
      <c r="C51" s="67" t="s">
        <v>103</v>
      </c>
      <c r="G51" s="34"/>
      <c r="H51" s="66" t="s">
        <v>105</v>
      </c>
      <c r="I51" s="66"/>
      <c r="J51" s="34"/>
      <c r="K51" s="66" t="s">
        <v>107</v>
      </c>
      <c r="L51" s="66"/>
      <c r="N51" s="68" t="s">
        <v>108</v>
      </c>
    </row>
    <row r="52" spans="3:14" ht="12.75">
      <c r="C52" s="67"/>
      <c r="G52" s="34"/>
      <c r="H52" s="69"/>
      <c r="I52" s="66" t="s">
        <v>109</v>
      </c>
      <c r="J52" s="34"/>
      <c r="K52" s="66" t="s">
        <v>109</v>
      </c>
      <c r="L52" s="66"/>
      <c r="N52" s="66" t="s">
        <v>109</v>
      </c>
    </row>
    <row r="53" spans="7:12" ht="12.75">
      <c r="G53" s="34"/>
      <c r="H53" s="34"/>
      <c r="I53" s="34"/>
      <c r="J53" s="34"/>
      <c r="K53" s="34"/>
      <c r="L53" s="34"/>
    </row>
    <row r="54" spans="3:14" ht="12.75">
      <c r="C54" t="s">
        <v>99</v>
      </c>
      <c r="G54" s="34"/>
      <c r="H54" s="34"/>
      <c r="I54" s="34">
        <v>8888</v>
      </c>
      <c r="J54" s="34"/>
      <c r="K54" s="34">
        <v>3060</v>
      </c>
      <c r="L54" s="34"/>
      <c r="N54" s="34">
        <f>+I54-K54</f>
        <v>5828</v>
      </c>
    </row>
    <row r="55" spans="7:12" ht="12.75">
      <c r="G55" s="34"/>
      <c r="H55" s="34"/>
      <c r="I55" s="34"/>
      <c r="J55" s="34"/>
      <c r="K55" s="34"/>
      <c r="L55" s="34"/>
    </row>
    <row r="56" spans="3:14" ht="12.75">
      <c r="C56" t="s">
        <v>100</v>
      </c>
      <c r="G56" s="34"/>
      <c r="H56" s="34"/>
      <c r="I56" s="34">
        <v>29991</v>
      </c>
      <c r="J56" s="34"/>
      <c r="K56" s="34">
        <v>10080</v>
      </c>
      <c r="L56" s="34"/>
      <c r="N56" s="34">
        <f>+I56-K56</f>
        <v>19911</v>
      </c>
    </row>
    <row r="57" spans="7:12" ht="12.75">
      <c r="G57" s="34"/>
      <c r="H57" s="34"/>
      <c r="I57" s="34"/>
      <c r="J57" s="34"/>
      <c r="K57" s="34"/>
      <c r="L57" s="34"/>
    </row>
    <row r="58" spans="3:14" ht="12.75">
      <c r="C58" t="s">
        <v>101</v>
      </c>
      <c r="G58" s="34"/>
      <c r="H58" s="34"/>
      <c r="I58" s="34">
        <v>7622</v>
      </c>
      <c r="J58" s="34"/>
      <c r="K58" s="34">
        <v>2565</v>
      </c>
      <c r="L58" s="34"/>
      <c r="N58" s="34">
        <f>+I58-K58</f>
        <v>5057</v>
      </c>
    </row>
    <row r="59" spans="7:12" ht="12.75">
      <c r="G59" s="34"/>
      <c r="H59" s="34"/>
      <c r="I59" s="34"/>
      <c r="J59" s="34"/>
      <c r="K59" s="34"/>
      <c r="L59" s="34"/>
    </row>
    <row r="60" spans="3:14" ht="12.75">
      <c r="C60" t="s">
        <v>102</v>
      </c>
      <c r="G60" s="34"/>
      <c r="H60" s="34"/>
      <c r="I60" s="34">
        <v>2932</v>
      </c>
      <c r="J60" s="34"/>
      <c r="K60" s="34">
        <v>1188</v>
      </c>
      <c r="L60" s="34"/>
      <c r="N60" s="34">
        <f>+I60-K60</f>
        <v>1744</v>
      </c>
    </row>
    <row r="61" spans="7:12" ht="12.75">
      <c r="G61" s="34"/>
      <c r="H61" s="34"/>
      <c r="I61" s="34"/>
      <c r="J61" s="34"/>
      <c r="K61" s="34"/>
      <c r="L61" s="34"/>
    </row>
    <row r="62" spans="7:14" ht="12.75">
      <c r="G62" s="34"/>
      <c r="H62" s="34"/>
      <c r="I62" s="34"/>
      <c r="J62" s="34"/>
      <c r="K62" s="34"/>
      <c r="L62" s="34"/>
      <c r="N62" s="34"/>
    </row>
    <row r="63" spans="8:16" ht="21" customHeight="1" thickBot="1">
      <c r="H63" s="34"/>
      <c r="I63" s="72">
        <f>SUM(I54:I61)</f>
        <v>49433</v>
      </c>
      <c r="J63" s="70"/>
      <c r="K63" s="72">
        <f>SUM(K54:K61)</f>
        <v>16893</v>
      </c>
      <c r="L63" s="70"/>
      <c r="M63" s="71"/>
      <c r="N63" s="72">
        <f>SUM(N54:N61)</f>
        <v>32540</v>
      </c>
      <c r="P63" s="72">
        <f>SUM(P54:P61)</f>
        <v>0</v>
      </c>
    </row>
    <row r="64" spans="7:12" ht="13.5" thickTop="1">
      <c r="G64" s="34"/>
      <c r="H64" s="34"/>
      <c r="I64" s="34"/>
      <c r="J64" s="34"/>
      <c r="K64" s="34"/>
      <c r="L64" s="34"/>
    </row>
    <row r="65" spans="7:12" ht="12.75">
      <c r="G65" s="34"/>
      <c r="H65" s="34"/>
      <c r="I65" s="34"/>
      <c r="J65" s="34"/>
      <c r="K65" s="34"/>
      <c r="L65" s="34"/>
    </row>
    <row r="66" spans="7:12" ht="12.75">
      <c r="G66" s="34"/>
      <c r="H66" s="34"/>
      <c r="I66" s="34"/>
      <c r="J66" s="34"/>
      <c r="K66" s="34"/>
      <c r="L66" s="34"/>
    </row>
    <row r="67" spans="7:16" ht="12.75">
      <c r="G67" s="34"/>
      <c r="H67" s="34"/>
      <c r="I67" s="34"/>
      <c r="J67" s="34"/>
      <c r="K67" s="34"/>
      <c r="L67" s="34"/>
      <c r="P67" s="34"/>
    </row>
    <row r="68" spans="7:12" ht="12.75">
      <c r="G68" s="34"/>
      <c r="H68" s="34"/>
      <c r="I68" s="34"/>
      <c r="J68" s="34"/>
      <c r="K68" s="34"/>
      <c r="L68" s="34"/>
    </row>
    <row r="69" spans="7:12" ht="12.75">
      <c r="G69" s="34"/>
      <c r="H69" s="34"/>
      <c r="I69" s="34"/>
      <c r="J69" s="34"/>
      <c r="K69" s="34"/>
      <c r="L69" s="34"/>
    </row>
    <row r="70" spans="7:12" ht="12.75">
      <c r="G70" s="34"/>
      <c r="H70" s="34"/>
      <c r="I70" s="34"/>
      <c r="J70" s="34"/>
      <c r="K70" s="34"/>
      <c r="L70" s="34"/>
    </row>
    <row r="71" spans="7:12" ht="12.75">
      <c r="G71" s="34"/>
      <c r="H71" s="34"/>
      <c r="I71" s="34"/>
      <c r="J71" s="34"/>
      <c r="K71" s="34"/>
      <c r="L71" s="34"/>
    </row>
    <row r="72" spans="7:12" ht="12.75">
      <c r="G72" s="34"/>
      <c r="H72" s="34"/>
      <c r="I72" s="34"/>
      <c r="J72" s="34"/>
      <c r="K72" s="34"/>
      <c r="L72" s="34"/>
    </row>
    <row r="73" spans="7:12" ht="12.75">
      <c r="G73" s="34"/>
      <c r="H73" s="34"/>
      <c r="I73" s="34"/>
      <c r="J73" s="34"/>
      <c r="K73" s="34"/>
      <c r="L73" s="34"/>
    </row>
    <row r="74" spans="7:12" ht="12.75">
      <c r="G74" s="34"/>
      <c r="H74" s="34"/>
      <c r="I74" s="34"/>
      <c r="J74" s="34"/>
      <c r="K74" s="34"/>
      <c r="L74" s="34"/>
    </row>
    <row r="75" spans="7:12" ht="12.75">
      <c r="G75" s="34"/>
      <c r="H75" s="34"/>
      <c r="I75" s="34"/>
      <c r="J75" s="34"/>
      <c r="K75" s="34"/>
      <c r="L75" s="34"/>
    </row>
    <row r="76" spans="7:12" ht="12.75">
      <c r="G76" s="34"/>
      <c r="H76" s="34"/>
      <c r="I76" s="34"/>
      <c r="J76" s="34"/>
      <c r="K76" s="34"/>
      <c r="L76" s="34"/>
    </row>
    <row r="77" spans="7:12" ht="12.75">
      <c r="G77" s="34"/>
      <c r="H77" s="34"/>
      <c r="I77" s="34"/>
      <c r="J77" s="34"/>
      <c r="K77" s="34"/>
      <c r="L77" s="34"/>
    </row>
    <row r="78" spans="7:12" ht="12.75">
      <c r="G78" s="34"/>
      <c r="H78" s="34"/>
      <c r="I78" s="34"/>
      <c r="J78" s="34"/>
      <c r="K78" s="34"/>
      <c r="L78" s="34"/>
    </row>
    <row r="79" spans="7:12" ht="12.75">
      <c r="G79" s="34"/>
      <c r="H79" s="34"/>
      <c r="I79" s="34"/>
      <c r="J79" s="34"/>
      <c r="K79" s="34"/>
      <c r="L79" s="34"/>
    </row>
    <row r="80" spans="7:12" ht="12.75">
      <c r="G80" s="34"/>
      <c r="H80" s="34"/>
      <c r="I80" s="34"/>
      <c r="J80" s="34"/>
      <c r="K80" s="34"/>
      <c r="L80" s="34"/>
    </row>
    <row r="81" spans="7:12" ht="12.75">
      <c r="G81" s="34"/>
      <c r="H81" s="34"/>
      <c r="I81" s="34"/>
      <c r="J81" s="34"/>
      <c r="K81" s="34"/>
      <c r="L81" s="34"/>
    </row>
    <row r="82" spans="7:12" ht="12.75">
      <c r="G82" s="34"/>
      <c r="H82" s="34"/>
      <c r="I82" s="34"/>
      <c r="J82" s="34"/>
      <c r="K82" s="34"/>
      <c r="L82" s="34"/>
    </row>
    <row r="83" spans="7:12" ht="12.75">
      <c r="G83" s="34"/>
      <c r="H83" s="34"/>
      <c r="I83" s="34"/>
      <c r="J83" s="34"/>
      <c r="K83" s="34"/>
      <c r="L83" s="34"/>
    </row>
  </sheetData>
  <mergeCells count="2">
    <mergeCell ref="G9:I9"/>
    <mergeCell ref="K9:M9"/>
  </mergeCells>
  <printOptions/>
  <pageMargins left="0.54" right="0.34" top="0.78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63"/>
  <sheetViews>
    <sheetView workbookViewId="0" topLeftCell="B8">
      <pane xSplit="1" ySplit="4" topLeftCell="C12" activePane="bottomRight" state="frozen"/>
      <selection pane="topLeft" activeCell="B8" sqref="B8"/>
      <selection pane="topRight" activeCell="C8" sqref="C8"/>
      <selection pane="bottomLeft" activeCell="B12" sqref="B12"/>
      <selection pane="bottomRight" activeCell="X23" sqref="X23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5.8515625" style="0" customWidth="1"/>
    <col min="4" max="4" width="10.57421875" style="0" customWidth="1"/>
    <col min="5" max="5" width="6.57421875" style="0" customWidth="1"/>
    <col min="6" max="6" width="10.8515625" style="0" customWidth="1"/>
    <col min="7" max="7" width="3.421875" style="0" customWidth="1"/>
    <col min="8" max="8" width="4.57421875" style="0" customWidth="1"/>
    <col min="9" max="21" width="7.7109375" style="0" customWidth="1"/>
    <col min="22" max="22" width="9.00390625" style="0" customWidth="1"/>
    <col min="23" max="23" width="12.421875" style="0" bestFit="1" customWidth="1"/>
  </cols>
  <sheetData>
    <row r="1" ht="8.25" customHeight="1"/>
    <row r="2" spans="1:7" ht="18.75">
      <c r="A2" s="87" t="s">
        <v>96</v>
      </c>
      <c r="B2" s="87"/>
      <c r="C2" s="87"/>
      <c r="D2" s="87"/>
      <c r="E2" s="87"/>
      <c r="F2" s="87"/>
      <c r="G2" s="14"/>
    </row>
    <row r="3" spans="1:9" ht="12.75">
      <c r="A3" s="88" t="s">
        <v>10</v>
      </c>
      <c r="B3" s="88"/>
      <c r="C3" s="88"/>
      <c r="D3" s="88"/>
      <c r="E3" s="88"/>
      <c r="F3" s="88"/>
      <c r="G3" s="14"/>
      <c r="I3">
        <f>106880-28412</f>
        <v>78468</v>
      </c>
    </row>
    <row r="4" spans="1:7" ht="12.75">
      <c r="A4" s="89" t="s">
        <v>97</v>
      </c>
      <c r="B4" s="89"/>
      <c r="C4" s="89"/>
      <c r="D4" s="89"/>
      <c r="E4" s="89"/>
      <c r="F4" s="89"/>
      <c r="G4" s="14"/>
    </row>
    <row r="5" spans="1:7" ht="12.75">
      <c r="A5" s="88" t="s">
        <v>63</v>
      </c>
      <c r="B5" s="88"/>
      <c r="C5" s="88"/>
      <c r="D5" s="88"/>
      <c r="E5" s="88"/>
      <c r="F5" s="88"/>
      <c r="G5" s="14"/>
    </row>
    <row r="6" spans="1:21" ht="12.75">
      <c r="A6" s="88" t="s">
        <v>62</v>
      </c>
      <c r="B6" s="88"/>
      <c r="C6" s="88"/>
      <c r="D6" s="88"/>
      <c r="E6" s="88"/>
      <c r="F6" s="88"/>
      <c r="G6" s="25"/>
      <c r="N6" s="90" t="s">
        <v>90</v>
      </c>
      <c r="O6" s="91"/>
      <c r="P6" s="91"/>
      <c r="Q6" s="91"/>
      <c r="R6" s="91"/>
      <c r="S6" s="91"/>
      <c r="T6" s="91"/>
      <c r="U6" s="92"/>
    </row>
    <row r="7" spans="1:21" ht="7.5" customHeight="1">
      <c r="A7" s="14"/>
      <c r="B7" s="14"/>
      <c r="C7" s="14"/>
      <c r="D7" s="14"/>
      <c r="E7" s="14"/>
      <c r="F7" s="14"/>
      <c r="G7" s="14"/>
      <c r="N7" s="93" t="s">
        <v>91</v>
      </c>
      <c r="O7" s="94"/>
      <c r="P7" s="94"/>
      <c r="Q7" s="95"/>
      <c r="R7" s="93" t="s">
        <v>92</v>
      </c>
      <c r="S7" s="94"/>
      <c r="T7" s="94"/>
      <c r="U7" s="95"/>
    </row>
    <row r="8" spans="1:21" ht="12.75">
      <c r="A8" s="14"/>
      <c r="B8" s="14"/>
      <c r="C8" s="14"/>
      <c r="D8" s="28" t="s">
        <v>3</v>
      </c>
      <c r="E8" s="14"/>
      <c r="F8" s="28" t="s">
        <v>3</v>
      </c>
      <c r="G8" s="14"/>
      <c r="N8" s="96"/>
      <c r="O8" s="97"/>
      <c r="P8" s="97"/>
      <c r="Q8" s="98"/>
      <c r="R8" s="96"/>
      <c r="S8" s="97"/>
      <c r="T8" s="97"/>
      <c r="U8" s="98"/>
    </row>
    <row r="9" spans="1:22" ht="12.75">
      <c r="A9" s="14"/>
      <c r="B9" s="14"/>
      <c r="C9" s="14"/>
      <c r="D9" s="27" t="s">
        <v>98</v>
      </c>
      <c r="E9" s="14"/>
      <c r="F9" s="27" t="s">
        <v>58</v>
      </c>
      <c r="G9" s="14"/>
      <c r="I9" s="80" t="s">
        <v>81</v>
      </c>
      <c r="J9" s="81" t="s">
        <v>82</v>
      </c>
      <c r="K9" s="81" t="s">
        <v>83</v>
      </c>
      <c r="L9" s="81" t="s">
        <v>84</v>
      </c>
      <c r="M9" s="82" t="s">
        <v>85</v>
      </c>
      <c r="N9" s="50" t="s">
        <v>83</v>
      </c>
      <c r="O9" s="50" t="s">
        <v>82</v>
      </c>
      <c r="P9" s="50" t="s">
        <v>93</v>
      </c>
      <c r="Q9" s="50" t="s">
        <v>85</v>
      </c>
      <c r="R9" s="50" t="s">
        <v>83</v>
      </c>
      <c r="S9" s="50" t="s">
        <v>82</v>
      </c>
      <c r="T9" s="50" t="s">
        <v>93</v>
      </c>
      <c r="U9" s="50" t="s">
        <v>85</v>
      </c>
      <c r="V9" t="s">
        <v>89</v>
      </c>
    </row>
    <row r="10" spans="1:21" ht="12.75">
      <c r="A10" s="14"/>
      <c r="B10" s="14"/>
      <c r="C10" s="14"/>
      <c r="D10" s="31" t="s">
        <v>76</v>
      </c>
      <c r="E10" s="14"/>
      <c r="F10" s="31" t="s">
        <v>75</v>
      </c>
      <c r="G10" s="14"/>
      <c r="I10" s="54"/>
      <c r="J10" s="57"/>
      <c r="K10" s="57"/>
      <c r="L10" s="57"/>
      <c r="M10" s="58"/>
      <c r="N10" s="51"/>
      <c r="O10" s="52"/>
      <c r="P10" s="52"/>
      <c r="Q10" s="52"/>
      <c r="R10" s="51"/>
      <c r="S10" s="52"/>
      <c r="T10" s="52"/>
      <c r="U10" s="53"/>
    </row>
    <row r="11" spans="1:21" ht="12.75">
      <c r="A11" s="14"/>
      <c r="B11" s="14"/>
      <c r="C11" s="14"/>
      <c r="D11" s="29" t="s">
        <v>1</v>
      </c>
      <c r="E11" s="14"/>
      <c r="F11" s="29" t="s">
        <v>1</v>
      </c>
      <c r="G11" s="14"/>
      <c r="I11" s="54"/>
      <c r="J11" s="57"/>
      <c r="K11" s="57"/>
      <c r="L11" s="57"/>
      <c r="M11" s="58"/>
      <c r="N11" s="54"/>
      <c r="O11" s="57"/>
      <c r="P11" s="57"/>
      <c r="Q11" s="57"/>
      <c r="R11" s="54"/>
      <c r="S11" s="57"/>
      <c r="T11" s="57"/>
      <c r="U11" s="58"/>
    </row>
    <row r="12" spans="1:23" ht="12.75">
      <c r="A12" s="14"/>
      <c r="B12" s="14"/>
      <c r="C12" s="14"/>
      <c r="D12" s="14"/>
      <c r="E12" s="14"/>
      <c r="F12" s="14"/>
      <c r="G12" s="14"/>
      <c r="I12" s="73">
        <v>29701</v>
      </c>
      <c r="J12" s="57"/>
      <c r="K12" s="57"/>
      <c r="L12" s="57"/>
      <c r="M12" s="58"/>
      <c r="N12" s="65"/>
      <c r="O12" s="55"/>
      <c r="P12" s="55">
        <v>1000</v>
      </c>
      <c r="Q12" s="55"/>
      <c r="R12" s="65">
        <v>12000</v>
      </c>
      <c r="S12" s="55">
        <v>12101</v>
      </c>
      <c r="T12" s="55">
        <v>1000</v>
      </c>
      <c r="U12" s="56">
        <v>5600</v>
      </c>
      <c r="V12" s="39">
        <f>SUM(I12:M12)+P12-SUM(R12:U12)</f>
        <v>0</v>
      </c>
      <c r="W12">
        <f>SUM(R12:U12)</f>
        <v>30701</v>
      </c>
    </row>
    <row r="13" spans="1:25" ht="12.75">
      <c r="A13" s="14" t="s">
        <v>19</v>
      </c>
      <c r="B13" s="14"/>
      <c r="C13" s="14"/>
      <c r="D13" s="16">
        <f>+V13</f>
        <v>65441</v>
      </c>
      <c r="E13" s="16"/>
      <c r="F13" s="16">
        <v>66328</v>
      </c>
      <c r="G13" s="14"/>
      <c r="I13" s="59">
        <v>17028</v>
      </c>
      <c r="J13" s="49">
        <v>2703</v>
      </c>
      <c r="K13" s="49">
        <v>23266</v>
      </c>
      <c r="L13" s="49">
        <v>4</v>
      </c>
      <c r="M13" s="60">
        <v>22440</v>
      </c>
      <c r="N13" s="59"/>
      <c r="O13" s="49"/>
      <c r="P13" s="49"/>
      <c r="Q13" s="49"/>
      <c r="R13" s="59"/>
      <c r="S13" s="49"/>
      <c r="T13" s="49"/>
      <c r="U13" s="60"/>
      <c r="V13" s="39">
        <f>SUM(I13:M13)</f>
        <v>65441</v>
      </c>
      <c r="X13" s="84"/>
      <c r="Y13" s="84"/>
    </row>
    <row r="14" spans="1:25" ht="12.75">
      <c r="A14" s="14" t="s">
        <v>13</v>
      </c>
      <c r="B14" s="14"/>
      <c r="C14" s="14"/>
      <c r="D14" s="16">
        <v>5717</v>
      </c>
      <c r="E14" s="16"/>
      <c r="F14" s="16">
        <v>5717</v>
      </c>
      <c r="G14" s="14"/>
      <c r="I14" s="59">
        <v>5717</v>
      </c>
      <c r="J14" s="49">
        <v>0</v>
      </c>
      <c r="K14" s="49">
        <v>0</v>
      </c>
      <c r="L14" s="49">
        <v>0</v>
      </c>
      <c r="M14" s="60"/>
      <c r="N14" s="59"/>
      <c r="O14" s="49"/>
      <c r="P14" s="49"/>
      <c r="Q14" s="49"/>
      <c r="R14" s="59"/>
      <c r="S14" s="49"/>
      <c r="T14" s="49"/>
      <c r="U14" s="60"/>
      <c r="V14" s="39">
        <f>SUM(I14:M14)</f>
        <v>5717</v>
      </c>
      <c r="X14" s="84"/>
      <c r="Y14" s="84"/>
    </row>
    <row r="15" spans="1:25" ht="12.75">
      <c r="A15" s="14" t="s">
        <v>14</v>
      </c>
      <c r="B15" s="14"/>
      <c r="C15" s="14"/>
      <c r="D15" s="16">
        <f>1741-174</f>
        <v>1567</v>
      </c>
      <c r="E15" s="16"/>
      <c r="F15" s="16">
        <v>2089</v>
      </c>
      <c r="G15" s="14"/>
      <c r="I15" s="59"/>
      <c r="J15" s="49">
        <v>0</v>
      </c>
      <c r="K15" s="49">
        <v>0</v>
      </c>
      <c r="L15" s="49">
        <v>0</v>
      </c>
      <c r="M15" s="60"/>
      <c r="N15" s="59"/>
      <c r="O15" s="49">
        <v>4835</v>
      </c>
      <c r="P15" s="49"/>
      <c r="Q15" s="49"/>
      <c r="R15" s="59"/>
      <c r="S15" s="49">
        <v>3670</v>
      </c>
      <c r="T15" s="49"/>
      <c r="U15" s="60"/>
      <c r="V15" s="39">
        <v>1567</v>
      </c>
      <c r="X15" s="84"/>
      <c r="Y15" s="84"/>
    </row>
    <row r="16" spans="1:25" ht="13.5" thickBot="1">
      <c r="A16" s="14"/>
      <c r="B16" s="14"/>
      <c r="C16" s="14"/>
      <c r="D16" s="21">
        <f>SUM(D13:D15)</f>
        <v>72725</v>
      </c>
      <c r="E16" s="14"/>
      <c r="F16" s="21">
        <f>SUM(F13:F15)</f>
        <v>74134</v>
      </c>
      <c r="G16" s="14"/>
      <c r="I16" s="74">
        <f>+I13+I14+I15+I12</f>
        <v>52446</v>
      </c>
      <c r="J16" s="47">
        <f>+J13+J14+J15+J12</f>
        <v>2703</v>
      </c>
      <c r="K16" s="47">
        <f>+K13+K14+K15+K12</f>
        <v>23266</v>
      </c>
      <c r="L16" s="47">
        <f>+L13+L14+L15+L12</f>
        <v>4</v>
      </c>
      <c r="M16" s="75">
        <f>+M13+M14+M15+M12</f>
        <v>22440</v>
      </c>
      <c r="N16" s="59"/>
      <c r="O16" s="49"/>
      <c r="P16" s="49"/>
      <c r="Q16" s="49"/>
      <c r="R16" s="59"/>
      <c r="S16" s="49"/>
      <c r="T16" s="49"/>
      <c r="U16" s="60"/>
      <c r="V16" s="47">
        <f>+V13+V14+V15</f>
        <v>72725</v>
      </c>
      <c r="X16" s="84">
        <v>73851</v>
      </c>
      <c r="Y16" s="34">
        <f>+D16-X16</f>
        <v>-1126</v>
      </c>
    </row>
    <row r="17" spans="1:25" ht="12.75">
      <c r="A17" s="14"/>
      <c r="B17" s="14"/>
      <c r="C17" s="14"/>
      <c r="D17" s="14"/>
      <c r="E17" s="14"/>
      <c r="F17" s="14"/>
      <c r="G17" s="14"/>
      <c r="I17" s="59"/>
      <c r="J17" s="49">
        <v>8265</v>
      </c>
      <c r="K17" s="49">
        <f>21511+1878</f>
        <v>23389</v>
      </c>
      <c r="L17" s="49">
        <v>7260</v>
      </c>
      <c r="M17" s="60"/>
      <c r="N17" s="59"/>
      <c r="O17" s="49"/>
      <c r="P17" s="49"/>
      <c r="Q17" s="49"/>
      <c r="R17" s="59">
        <f>SUM(J17:L17)+J18+I18</f>
        <v>81391</v>
      </c>
      <c r="S17" s="49"/>
      <c r="T17" s="49"/>
      <c r="U17" s="60"/>
      <c r="V17" s="39"/>
      <c r="X17" s="84"/>
      <c r="Y17" s="34"/>
    </row>
    <row r="18" spans="1:25" ht="12.75">
      <c r="A18" s="15" t="s">
        <v>4</v>
      </c>
      <c r="B18" s="14"/>
      <c r="C18" s="14"/>
      <c r="D18" s="14"/>
      <c r="E18" s="14"/>
      <c r="F18" s="14"/>
      <c r="G18" s="14"/>
      <c r="I18" s="59">
        <v>42387</v>
      </c>
      <c r="J18" s="49">
        <v>90</v>
      </c>
      <c r="K18" s="49"/>
      <c r="L18" s="49"/>
      <c r="M18" s="60"/>
      <c r="N18" s="59"/>
      <c r="O18" s="49"/>
      <c r="P18" s="49"/>
      <c r="Q18" s="49"/>
      <c r="R18" s="59"/>
      <c r="S18" s="49"/>
      <c r="T18" s="49"/>
      <c r="U18" s="60"/>
      <c r="V18" s="39"/>
      <c r="W18" s="34">
        <f>SUM(I18:M18)</f>
        <v>42477</v>
      </c>
      <c r="X18" s="84"/>
      <c r="Y18" s="34"/>
    </row>
    <row r="19" spans="1:25" ht="12.75">
      <c r="A19" s="14"/>
      <c r="B19" s="14" t="s">
        <v>15</v>
      </c>
      <c r="C19" s="14"/>
      <c r="D19" s="16">
        <f>+V19</f>
        <v>1160</v>
      </c>
      <c r="E19" s="16"/>
      <c r="F19" s="16">
        <v>1138</v>
      </c>
      <c r="G19" s="14"/>
      <c r="I19" s="59">
        <v>1090</v>
      </c>
      <c r="J19" s="49">
        <v>0</v>
      </c>
      <c r="K19" s="49">
        <v>10</v>
      </c>
      <c r="L19" s="49">
        <v>0</v>
      </c>
      <c r="M19" s="60">
        <v>60</v>
      </c>
      <c r="N19" s="59"/>
      <c r="O19" s="49"/>
      <c r="P19" s="49"/>
      <c r="Q19" s="49"/>
      <c r="R19" s="59"/>
      <c r="S19" s="49"/>
      <c r="T19" s="49"/>
      <c r="U19" s="60"/>
      <c r="V19" s="39">
        <f>SUM(I19:M19)</f>
        <v>1160</v>
      </c>
      <c r="X19" s="84">
        <v>1143</v>
      </c>
      <c r="Y19" s="34">
        <f>+D19-X19</f>
        <v>17</v>
      </c>
    </row>
    <row r="20" spans="1:25" ht="12.75">
      <c r="A20" s="14"/>
      <c r="B20" s="14" t="s">
        <v>116</v>
      </c>
      <c r="C20" s="14"/>
      <c r="D20" s="16">
        <f>+V20</f>
        <v>5569</v>
      </c>
      <c r="E20" s="16"/>
      <c r="F20" s="16">
        <v>5643</v>
      </c>
      <c r="G20" s="14"/>
      <c r="I20" s="59">
        <f>3721+1007+277</f>
        <v>5005</v>
      </c>
      <c r="J20" s="49">
        <v>18</v>
      </c>
      <c r="K20" s="49">
        <f>117+28</f>
        <v>145</v>
      </c>
      <c r="L20" s="49">
        <f>303-8</f>
        <v>295</v>
      </c>
      <c r="M20" s="60">
        <v>106</v>
      </c>
      <c r="N20" s="59"/>
      <c r="O20" s="49"/>
      <c r="P20" s="49"/>
      <c r="Q20" s="49"/>
      <c r="R20" s="59"/>
      <c r="S20" s="49"/>
      <c r="T20" s="49"/>
      <c r="U20" s="60"/>
      <c r="V20" s="39">
        <f>SUM(I20:M20)</f>
        <v>5569</v>
      </c>
      <c r="X20" s="84">
        <v>4498</v>
      </c>
      <c r="Y20" s="34">
        <f aca="true" t="shared" si="0" ref="Y20:Y30">+D20-X20</f>
        <v>1071</v>
      </c>
    </row>
    <row r="21" spans="1:25" ht="12.75">
      <c r="A21" s="14"/>
      <c r="B21" s="14" t="s">
        <v>117</v>
      </c>
      <c r="C21" s="14"/>
      <c r="D21" s="19">
        <f>+V21</f>
        <v>943</v>
      </c>
      <c r="E21" s="16"/>
      <c r="F21" s="19">
        <v>559</v>
      </c>
      <c r="G21" s="14"/>
      <c r="I21" s="61">
        <f>1617-1007-277</f>
        <v>333</v>
      </c>
      <c r="J21" s="43">
        <f>10</f>
        <v>10</v>
      </c>
      <c r="K21" s="43">
        <v>245</v>
      </c>
      <c r="L21" s="43">
        <v>8</v>
      </c>
      <c r="M21" s="62">
        <v>347</v>
      </c>
      <c r="N21" s="59"/>
      <c r="O21" s="49"/>
      <c r="P21" s="49"/>
      <c r="Q21" s="49"/>
      <c r="R21" s="59"/>
      <c r="S21" s="49"/>
      <c r="T21" s="49"/>
      <c r="U21" s="60"/>
      <c r="V21" s="43">
        <f>SUM(I21:M21)</f>
        <v>943</v>
      </c>
      <c r="X21" s="84">
        <v>422</v>
      </c>
      <c r="Y21" s="34">
        <f t="shared" si="0"/>
        <v>521</v>
      </c>
    </row>
    <row r="22" spans="1:25" ht="12.75">
      <c r="A22" s="14"/>
      <c r="B22" s="14"/>
      <c r="C22" s="14"/>
      <c r="D22" s="16">
        <f>SUM(D19:D21)</f>
        <v>7672</v>
      </c>
      <c r="E22" s="16"/>
      <c r="F22" s="16">
        <f>SUM(F19:F21)</f>
        <v>7340</v>
      </c>
      <c r="G22" s="14"/>
      <c r="I22" s="59">
        <f>SUM(I18:I21)</f>
        <v>48815</v>
      </c>
      <c r="J22" s="49">
        <f>SUM(J18:J21)</f>
        <v>118</v>
      </c>
      <c r="K22" s="49">
        <f>SUM(K18:K21)</f>
        <v>400</v>
      </c>
      <c r="L22" s="49">
        <f>SUM(L18:L21)</f>
        <v>303</v>
      </c>
      <c r="M22" s="60">
        <f>SUM(M18:M21)</f>
        <v>513</v>
      </c>
      <c r="N22" s="59"/>
      <c r="O22" s="49"/>
      <c r="P22" s="49"/>
      <c r="Q22" s="49"/>
      <c r="R22" s="59"/>
      <c r="S22" s="49"/>
      <c r="T22" s="49"/>
      <c r="U22" s="60"/>
      <c r="V22" s="39">
        <f>+V19+V20+V21</f>
        <v>7672</v>
      </c>
      <c r="X22" s="84"/>
      <c r="Y22" s="34"/>
    </row>
    <row r="23" spans="1:26" ht="12.75">
      <c r="A23" s="15" t="s">
        <v>5</v>
      </c>
      <c r="B23" s="14"/>
      <c r="C23" s="14"/>
      <c r="D23" s="16"/>
      <c r="E23" s="16"/>
      <c r="F23" s="16"/>
      <c r="G23" s="14"/>
      <c r="I23" s="59">
        <v>29337</v>
      </c>
      <c r="J23" s="49"/>
      <c r="K23" s="49"/>
      <c r="L23" s="49"/>
      <c r="M23" s="60">
        <f>7530+41916</f>
        <v>49446</v>
      </c>
      <c r="N23" s="59">
        <f>21511+1878</f>
        <v>23389</v>
      </c>
      <c r="O23" s="49">
        <v>8265</v>
      </c>
      <c r="P23" s="49">
        <f>7260</f>
        <v>7260</v>
      </c>
      <c r="Q23" s="49"/>
      <c r="R23" s="59">
        <f>SUM(I23:M23)</f>
        <v>78783</v>
      </c>
      <c r="S23" s="49"/>
      <c r="T23" s="49"/>
      <c r="U23" s="60"/>
      <c r="V23" s="39"/>
      <c r="W23" s="34">
        <f>SUM(I23:M23)-P23-N23-O23</f>
        <v>39869</v>
      </c>
      <c r="X23" s="84">
        <f>+W18-W23</f>
        <v>2608</v>
      </c>
      <c r="Y23" s="34"/>
      <c r="Z23" s="34">
        <f>+W18-W23</f>
        <v>2608</v>
      </c>
    </row>
    <row r="24" spans="1:25" ht="12.75">
      <c r="A24" s="14"/>
      <c r="B24" s="14" t="s">
        <v>16</v>
      </c>
      <c r="C24" s="14"/>
      <c r="D24" s="16">
        <f aca="true" t="shared" si="1" ref="D24:D30">+V24</f>
        <v>15029</v>
      </c>
      <c r="E24" s="16"/>
      <c r="F24" s="16">
        <v>22543</v>
      </c>
      <c r="G24" s="14"/>
      <c r="I24" s="59">
        <f>10583+4305</f>
        <v>14888</v>
      </c>
      <c r="J24" s="49">
        <v>0</v>
      </c>
      <c r="K24" s="49">
        <v>141</v>
      </c>
      <c r="L24" s="49"/>
      <c r="M24" s="60"/>
      <c r="N24" s="59"/>
      <c r="O24" s="49"/>
      <c r="P24" s="49"/>
      <c r="Q24" s="49"/>
      <c r="R24" s="59"/>
      <c r="S24" s="49"/>
      <c r="T24" s="49"/>
      <c r="U24" s="60"/>
      <c r="V24" s="39">
        <f aca="true" t="shared" si="2" ref="V24:V30">SUM(I24:M24)</f>
        <v>15029</v>
      </c>
      <c r="X24" s="84">
        <v>21002</v>
      </c>
      <c r="Y24" s="34">
        <f t="shared" si="0"/>
        <v>-5973</v>
      </c>
    </row>
    <row r="25" spans="1:25" ht="12.75">
      <c r="A25" s="14"/>
      <c r="B25" s="14" t="s">
        <v>17</v>
      </c>
      <c r="C25" s="14"/>
      <c r="D25" s="16">
        <f>+V25-3487</f>
        <v>26767</v>
      </c>
      <c r="E25" s="16"/>
      <c r="F25" s="16">
        <v>21675</v>
      </c>
      <c r="G25" s="14"/>
      <c r="I25" s="59">
        <f>2063+5112+210+8382</f>
        <v>15767</v>
      </c>
      <c r="J25" s="49">
        <v>1292</v>
      </c>
      <c r="K25" s="49">
        <f>1087+2</f>
        <v>1089</v>
      </c>
      <c r="L25" s="49">
        <v>5762</v>
      </c>
      <c r="M25" s="60">
        <v>6500</v>
      </c>
      <c r="N25" s="59"/>
      <c r="O25" s="49"/>
      <c r="P25" s="49"/>
      <c r="Q25" s="49"/>
      <c r="R25" s="59">
        <f>+R17-R23</f>
        <v>2608</v>
      </c>
      <c r="S25" s="49"/>
      <c r="T25" s="49"/>
      <c r="U25" s="60"/>
      <c r="V25" s="39">
        <f>SUM(I25:M25)-N25-156</f>
        <v>30254</v>
      </c>
      <c r="X25" s="84">
        <v>18855</v>
      </c>
      <c r="Y25" s="34">
        <f t="shared" si="0"/>
        <v>7912</v>
      </c>
    </row>
    <row r="26" spans="1:26" ht="12.75">
      <c r="A26" s="14"/>
      <c r="B26" s="14" t="s">
        <v>74</v>
      </c>
      <c r="C26" s="14"/>
      <c r="D26" s="16">
        <f t="shared" si="1"/>
        <v>52588</v>
      </c>
      <c r="E26" s="16"/>
      <c r="F26" s="16">
        <v>28572</v>
      </c>
      <c r="G26" s="14"/>
      <c r="I26" s="59">
        <v>29142</v>
      </c>
      <c r="J26" s="49">
        <v>0</v>
      </c>
      <c r="K26" s="49"/>
      <c r="L26" s="49"/>
      <c r="M26" s="60">
        <v>23446</v>
      </c>
      <c r="N26" s="59"/>
      <c r="O26" s="49"/>
      <c r="P26" s="49"/>
      <c r="Q26" s="49"/>
      <c r="R26" s="59">
        <f>7260+42387</f>
        <v>49647</v>
      </c>
      <c r="S26" s="49"/>
      <c r="T26" s="49"/>
      <c r="U26" s="60"/>
      <c r="V26" s="39">
        <f t="shared" si="2"/>
        <v>52588</v>
      </c>
      <c r="X26" s="84">
        <v>33300</v>
      </c>
      <c r="Y26" s="34">
        <f t="shared" si="0"/>
        <v>19288</v>
      </c>
      <c r="Z26" s="34">
        <f>SUM(Y24:Y26)</f>
        <v>21227</v>
      </c>
    </row>
    <row r="27" spans="1:25" ht="12.75">
      <c r="A27" s="14"/>
      <c r="B27" s="14" t="s">
        <v>61</v>
      </c>
      <c r="C27" s="14"/>
      <c r="D27" s="16">
        <f t="shared" si="1"/>
        <v>3959</v>
      </c>
      <c r="E27" s="16"/>
      <c r="F27" s="16">
        <v>4243</v>
      </c>
      <c r="G27" s="14"/>
      <c r="I27" s="59">
        <v>3959</v>
      </c>
      <c r="J27" s="49">
        <v>0</v>
      </c>
      <c r="K27" s="49"/>
      <c r="L27" s="49"/>
      <c r="M27" s="60"/>
      <c r="N27" s="59"/>
      <c r="O27" s="49"/>
      <c r="P27" s="49"/>
      <c r="Q27" s="49"/>
      <c r="R27" s="59"/>
      <c r="S27" s="49"/>
      <c r="T27" s="49"/>
      <c r="U27" s="60"/>
      <c r="V27" s="39">
        <f t="shared" si="2"/>
        <v>3959</v>
      </c>
      <c r="X27" s="84">
        <v>4212</v>
      </c>
      <c r="Y27" s="34">
        <f t="shared" si="0"/>
        <v>-253</v>
      </c>
    </row>
    <row r="28" spans="1:26" ht="12.75">
      <c r="A28" s="14"/>
      <c r="B28" s="14" t="s">
        <v>9</v>
      </c>
      <c r="C28" s="14"/>
      <c r="D28" s="16">
        <f t="shared" si="1"/>
        <v>16517</v>
      </c>
      <c r="E28" s="16"/>
      <c r="F28" s="16">
        <v>25816</v>
      </c>
      <c r="G28" s="14"/>
      <c r="I28" s="59">
        <v>0</v>
      </c>
      <c r="J28" s="49">
        <v>0</v>
      </c>
      <c r="K28" s="49">
        <v>16517</v>
      </c>
      <c r="L28" s="49"/>
      <c r="M28" s="60"/>
      <c r="N28" s="59"/>
      <c r="O28" s="49"/>
      <c r="P28" s="49"/>
      <c r="Q28" s="49"/>
      <c r="R28" s="59"/>
      <c r="S28" s="49"/>
      <c r="T28" s="49"/>
      <c r="U28" s="60"/>
      <c r="V28" s="39">
        <f t="shared" si="2"/>
        <v>16517</v>
      </c>
      <c r="X28" s="84">
        <v>30441</v>
      </c>
      <c r="Y28" s="34">
        <f t="shared" si="0"/>
        <v>-13924</v>
      </c>
      <c r="Z28" s="34">
        <f>SUM(Y24:Y28)</f>
        <v>7050</v>
      </c>
    </row>
    <row r="29" spans="1:25" ht="12.75">
      <c r="A29" s="14"/>
      <c r="B29" s="14" t="s">
        <v>6</v>
      </c>
      <c r="C29" s="14"/>
      <c r="D29" s="16">
        <f t="shared" si="1"/>
        <v>362</v>
      </c>
      <c r="E29" s="16"/>
      <c r="F29" s="16">
        <v>362</v>
      </c>
      <c r="G29" s="14"/>
      <c r="I29" s="59">
        <v>29</v>
      </c>
      <c r="J29" s="49">
        <v>131</v>
      </c>
      <c r="K29" s="49"/>
      <c r="L29" s="49">
        <v>202</v>
      </c>
      <c r="M29" s="60"/>
      <c r="N29" s="59"/>
      <c r="O29" s="49"/>
      <c r="P29" s="49"/>
      <c r="Q29" s="49"/>
      <c r="R29" s="59"/>
      <c r="S29" s="49"/>
      <c r="T29" s="49"/>
      <c r="U29" s="60"/>
      <c r="V29" s="39">
        <f t="shared" si="2"/>
        <v>362</v>
      </c>
      <c r="X29" s="84">
        <v>362</v>
      </c>
      <c r="Y29" s="34">
        <f t="shared" si="0"/>
        <v>0</v>
      </c>
    </row>
    <row r="30" spans="1:25" ht="12.75">
      <c r="A30" s="14"/>
      <c r="B30" s="14" t="s">
        <v>73</v>
      </c>
      <c r="C30" s="14"/>
      <c r="D30" s="19">
        <f t="shared" si="1"/>
        <v>13073</v>
      </c>
      <c r="E30" s="16"/>
      <c r="F30" s="19">
        <v>47517</v>
      </c>
      <c r="G30" s="14"/>
      <c r="I30" s="61">
        <v>0</v>
      </c>
      <c r="J30" s="43"/>
      <c r="K30" s="43">
        <v>13073</v>
      </c>
      <c r="L30" s="43"/>
      <c r="M30" s="62"/>
      <c r="N30" s="59"/>
      <c r="O30" s="49"/>
      <c r="P30" s="49"/>
      <c r="Q30" s="49"/>
      <c r="R30" s="59"/>
      <c r="S30" s="49"/>
      <c r="T30" s="49"/>
      <c r="U30" s="60"/>
      <c r="V30" s="43">
        <f t="shared" si="2"/>
        <v>13073</v>
      </c>
      <c r="X30" s="84">
        <v>46272</v>
      </c>
      <c r="Y30" s="34">
        <f t="shared" si="0"/>
        <v>-33199</v>
      </c>
    </row>
    <row r="31" spans="1:25" ht="12.75">
      <c r="A31" s="14"/>
      <c r="B31" s="14"/>
      <c r="C31" s="14"/>
      <c r="D31" s="16">
        <f>SUM(D24:D30)</f>
        <v>128295</v>
      </c>
      <c r="E31" s="16"/>
      <c r="F31" s="16">
        <f>SUM(F24:F30)</f>
        <v>150728</v>
      </c>
      <c r="G31" s="14"/>
      <c r="I31" s="59">
        <f>SUM(I24:I30)+I23</f>
        <v>93122</v>
      </c>
      <c r="J31" s="49">
        <f>SUM(J24:J30)+J23</f>
        <v>1423</v>
      </c>
      <c r="K31" s="49">
        <f>SUM(K24:K30)+K23</f>
        <v>30820</v>
      </c>
      <c r="L31" s="49">
        <f>SUM(L24:L30)+L23</f>
        <v>5964</v>
      </c>
      <c r="M31" s="60">
        <f>SUM(M24:M30)+M23</f>
        <v>79392</v>
      </c>
      <c r="N31" s="59"/>
      <c r="O31" s="49"/>
      <c r="P31" s="49"/>
      <c r="Q31" s="49"/>
      <c r="R31" s="59"/>
      <c r="S31" s="49"/>
      <c r="T31" s="49"/>
      <c r="U31" s="60"/>
      <c r="V31" s="39">
        <f>SUM(V24:V30)</f>
        <v>131782</v>
      </c>
      <c r="X31" s="84"/>
      <c r="Y31" s="34"/>
    </row>
    <row r="32" spans="1:25" ht="12.75">
      <c r="A32" s="14"/>
      <c r="B32" s="14"/>
      <c r="C32" s="14"/>
      <c r="D32" s="16"/>
      <c r="E32" s="16"/>
      <c r="F32" s="16"/>
      <c r="G32" s="14"/>
      <c r="I32" s="59"/>
      <c r="J32" s="49"/>
      <c r="K32" s="49"/>
      <c r="L32" s="49"/>
      <c r="M32" s="60"/>
      <c r="N32" s="59"/>
      <c r="O32" s="49"/>
      <c r="P32" s="49"/>
      <c r="Q32" s="49"/>
      <c r="R32" s="59"/>
      <c r="S32" s="49"/>
      <c r="T32" s="49"/>
      <c r="U32" s="60"/>
      <c r="V32" s="39"/>
      <c r="X32" s="84"/>
      <c r="Y32" s="34"/>
    </row>
    <row r="33" spans="1:25" ht="12.75">
      <c r="A33" s="15" t="s">
        <v>20</v>
      </c>
      <c r="B33" s="14"/>
      <c r="C33" s="14"/>
      <c r="D33" s="16">
        <f>+D22-D31</f>
        <v>-120623</v>
      </c>
      <c r="E33" s="16"/>
      <c r="F33" s="16">
        <f>+F22-F31</f>
        <v>-143388</v>
      </c>
      <c r="G33" s="14"/>
      <c r="I33" s="76">
        <f>+I22-I31</f>
        <v>-44307</v>
      </c>
      <c r="J33" s="22">
        <f>+J22-J31</f>
        <v>-1305</v>
      </c>
      <c r="K33" s="22">
        <f>+K22-K31</f>
        <v>-30420</v>
      </c>
      <c r="L33" s="22">
        <f>+L22-L31</f>
        <v>-5661</v>
      </c>
      <c r="M33" s="77">
        <f>+M22-M31</f>
        <v>-78879</v>
      </c>
      <c r="N33" s="63"/>
      <c r="O33" s="64"/>
      <c r="P33" s="64"/>
      <c r="Q33" s="64"/>
      <c r="R33" s="63"/>
      <c r="S33" s="64"/>
      <c r="T33" s="64"/>
      <c r="U33" s="60"/>
      <c r="V33" s="39">
        <f>+V22-V31</f>
        <v>-124110</v>
      </c>
      <c r="W33" s="34">
        <f>+V22-V31</f>
        <v>-124110</v>
      </c>
      <c r="X33" s="84"/>
      <c r="Y33" s="34"/>
    </row>
    <row r="34" spans="1:25" ht="13.5" thickBot="1">
      <c r="A34" s="14"/>
      <c r="B34" s="14"/>
      <c r="C34" s="14"/>
      <c r="D34" s="20">
        <f>+D16+D33</f>
        <v>-47898</v>
      </c>
      <c r="E34" s="16"/>
      <c r="F34" s="20">
        <f>+F16+F33</f>
        <v>-69254</v>
      </c>
      <c r="G34" s="14"/>
      <c r="I34" s="78">
        <f>+I16+I33</f>
        <v>8139</v>
      </c>
      <c r="J34" s="48">
        <f>+J16+J33</f>
        <v>1398</v>
      </c>
      <c r="K34" s="48">
        <f>+K16+K33</f>
        <v>-7154</v>
      </c>
      <c r="L34" s="48">
        <f>+L16+L33</f>
        <v>-5657</v>
      </c>
      <c r="M34" s="79">
        <f>+M16+M33</f>
        <v>-56439</v>
      </c>
      <c r="N34" s="59"/>
      <c r="O34" s="49"/>
      <c r="P34" s="49"/>
      <c r="Q34" s="49"/>
      <c r="R34" s="59"/>
      <c r="S34" s="49"/>
      <c r="T34" s="49"/>
      <c r="U34" s="60"/>
      <c r="V34" s="48">
        <f>+V16+V33</f>
        <v>-51385</v>
      </c>
      <c r="X34" s="84"/>
      <c r="Y34" s="84"/>
    </row>
    <row r="35" spans="1:25" ht="7.5" customHeight="1" thickTop="1">
      <c r="A35" s="14"/>
      <c r="B35" s="14"/>
      <c r="C35" s="14"/>
      <c r="D35" s="16"/>
      <c r="E35" s="16"/>
      <c r="F35" s="16"/>
      <c r="G35" s="14"/>
      <c r="I35" s="59"/>
      <c r="J35" s="49"/>
      <c r="K35" s="49"/>
      <c r="L35" s="49"/>
      <c r="M35" s="60"/>
      <c r="N35" s="59"/>
      <c r="O35" s="49"/>
      <c r="P35" s="49"/>
      <c r="Q35" s="49"/>
      <c r="R35" s="59"/>
      <c r="S35" s="49"/>
      <c r="T35" s="49"/>
      <c r="U35" s="60"/>
      <c r="V35" s="39"/>
      <c r="X35" s="84"/>
      <c r="Y35" s="84"/>
    </row>
    <row r="36" spans="1:25" ht="12.75">
      <c r="A36" s="15" t="s">
        <v>7</v>
      </c>
      <c r="B36" s="14"/>
      <c r="C36" s="14"/>
      <c r="D36" s="16"/>
      <c r="E36" s="16"/>
      <c r="F36" s="16"/>
      <c r="G36" s="14"/>
      <c r="I36" s="59"/>
      <c r="J36" s="49"/>
      <c r="K36" s="49"/>
      <c r="L36" s="49"/>
      <c r="M36" s="60"/>
      <c r="N36" s="59"/>
      <c r="O36" s="49"/>
      <c r="P36" s="49"/>
      <c r="Q36" s="49"/>
      <c r="R36" s="59"/>
      <c r="S36" s="49"/>
      <c r="T36" s="49"/>
      <c r="U36" s="60"/>
      <c r="V36" s="39"/>
      <c r="X36" s="84"/>
      <c r="Y36" s="84"/>
    </row>
    <row r="37" spans="1:26" ht="12.75">
      <c r="A37" s="14"/>
      <c r="B37" s="14" t="s">
        <v>2</v>
      </c>
      <c r="C37" s="14"/>
      <c r="D37" s="16">
        <v>37500</v>
      </c>
      <c r="E37" s="16"/>
      <c r="F37" s="16">
        <v>37500</v>
      </c>
      <c r="G37" s="14"/>
      <c r="I37" s="59">
        <v>37500</v>
      </c>
      <c r="J37" s="49">
        <v>10300</v>
      </c>
      <c r="K37" s="49">
        <v>4159</v>
      </c>
      <c r="L37" s="49">
        <v>1000</v>
      </c>
      <c r="M37" s="60">
        <v>10000</v>
      </c>
      <c r="N37" s="59">
        <v>4159</v>
      </c>
      <c r="O37" s="49">
        <v>10300</v>
      </c>
      <c r="P37" s="49">
        <v>1000</v>
      </c>
      <c r="Q37" s="49">
        <v>10000</v>
      </c>
      <c r="R37" s="59"/>
      <c r="S37" s="49"/>
      <c r="T37" s="49"/>
      <c r="U37" s="60"/>
      <c r="V37" s="39">
        <f>SUM(I37:M37)-N37-O37-P37-Q37</f>
        <v>37500</v>
      </c>
      <c r="X37" s="34"/>
      <c r="Y37" s="34"/>
      <c r="Z37" s="34"/>
    </row>
    <row r="38" spans="1:22" ht="12.75">
      <c r="A38" s="14"/>
      <c r="B38" s="14" t="s">
        <v>8</v>
      </c>
      <c r="C38" s="14"/>
      <c r="D38" s="16"/>
      <c r="E38" s="16"/>
      <c r="F38" s="16"/>
      <c r="G38" s="14"/>
      <c r="I38" s="59"/>
      <c r="J38" s="49"/>
      <c r="K38" s="49"/>
      <c r="L38" s="49"/>
      <c r="M38" s="60"/>
      <c r="N38" s="59"/>
      <c r="O38" s="49"/>
      <c r="P38" s="49"/>
      <c r="Q38" s="49"/>
      <c r="R38" s="59"/>
      <c r="S38" s="49"/>
      <c r="T38" s="49"/>
      <c r="U38" s="60"/>
      <c r="V38" s="39"/>
    </row>
    <row r="39" spans="1:22" ht="12.75">
      <c r="A39" s="14"/>
      <c r="B39" s="14" t="s">
        <v>36</v>
      </c>
      <c r="C39" s="14"/>
      <c r="D39" s="16">
        <f>+V39</f>
        <v>710</v>
      </c>
      <c r="E39" s="16"/>
      <c r="F39" s="16">
        <v>710</v>
      </c>
      <c r="G39" s="14"/>
      <c r="I39" s="59">
        <v>710</v>
      </c>
      <c r="J39" s="49">
        <v>636</v>
      </c>
      <c r="K39" s="49">
        <v>7840</v>
      </c>
      <c r="L39" s="49"/>
      <c r="M39" s="60"/>
      <c r="N39" s="59">
        <v>7841</v>
      </c>
      <c r="O39" s="49">
        <v>636</v>
      </c>
      <c r="P39" s="49"/>
      <c r="Q39" s="49"/>
      <c r="R39" s="59"/>
      <c r="S39" s="49"/>
      <c r="T39" s="49"/>
      <c r="U39" s="60"/>
      <c r="V39" s="39">
        <f>SUM(I39:M39)-N39-O39-P39-Q39+1</f>
        <v>710</v>
      </c>
    </row>
    <row r="40" spans="1:24" ht="12.75">
      <c r="A40" s="14"/>
      <c r="B40" s="14" t="s">
        <v>37</v>
      </c>
      <c r="C40" s="14"/>
      <c r="D40" s="16">
        <f>+V40</f>
        <v>-78468</v>
      </c>
      <c r="E40" s="16"/>
      <c r="F40" s="16">
        <v>-102828</v>
      </c>
      <c r="G40" s="14"/>
      <c r="I40" s="59">
        <f>-60443+30372</f>
        <v>-30071</v>
      </c>
      <c r="J40" s="49">
        <v>-9539</v>
      </c>
      <c r="K40" s="49">
        <v>-19153</v>
      </c>
      <c r="L40" s="49">
        <v>-6657</v>
      </c>
      <c r="M40" s="60">
        <v>-58799</v>
      </c>
      <c r="N40" s="59"/>
      <c r="O40" s="49">
        <f>+S15</f>
        <v>3670</v>
      </c>
      <c r="P40" s="49"/>
      <c r="Q40" s="49"/>
      <c r="R40" s="59">
        <f>21511+1878+1437</f>
        <v>24826</v>
      </c>
      <c r="S40" s="49">
        <f>3670+8265</f>
        <v>11935</v>
      </c>
      <c r="T40" s="49">
        <f>1000+7260</f>
        <v>8260</v>
      </c>
      <c r="U40" s="60">
        <v>4400</v>
      </c>
      <c r="V40" s="34">
        <f>SUM(I40:M40)-N40-O40+R40+S40+T40+U40</f>
        <v>-78468</v>
      </c>
      <c r="W40" s="34">
        <f>SUM(I40:M40)-O40+R40+S40+T40+U40</f>
        <v>-78468</v>
      </c>
      <c r="X40" s="34">
        <f>SUM(R40:U40)</f>
        <v>49421</v>
      </c>
    </row>
    <row r="41" spans="1:27" ht="12.75">
      <c r="A41" s="14"/>
      <c r="B41" s="14" t="s">
        <v>38</v>
      </c>
      <c r="C41" s="14"/>
      <c r="D41" s="19">
        <f>+V41</f>
        <v>-7640</v>
      </c>
      <c r="E41" s="16"/>
      <c r="F41" s="19">
        <v>-4636</v>
      </c>
      <c r="G41" s="14"/>
      <c r="I41" s="61"/>
      <c r="J41" s="43"/>
      <c r="K41" s="43"/>
      <c r="L41" s="43"/>
      <c r="M41" s="62">
        <v>-7640</v>
      </c>
      <c r="N41" s="59"/>
      <c r="O41" s="49"/>
      <c r="P41" s="49"/>
      <c r="Q41" s="49"/>
      <c r="R41" s="59"/>
      <c r="S41" s="49"/>
      <c r="T41" s="49"/>
      <c r="U41" s="60"/>
      <c r="V41" s="39">
        <f>+M41</f>
        <v>-7640</v>
      </c>
      <c r="X41">
        <f>-79905+78468</f>
        <v>-1437</v>
      </c>
      <c r="Y41">
        <f>+V41*0.56</f>
        <v>-4278.400000000001</v>
      </c>
      <c r="Z41" s="34">
        <f>+V41-Y41</f>
        <v>-3361.5999999999995</v>
      </c>
      <c r="AA41" s="34">
        <f>+D41-F41</f>
        <v>-3004</v>
      </c>
    </row>
    <row r="42" spans="1:22" ht="12.75">
      <c r="A42" s="14"/>
      <c r="B42" s="14"/>
      <c r="C42" s="14"/>
      <c r="D42" s="22">
        <f>SUM(D37:D41)</f>
        <v>-47898</v>
      </c>
      <c r="E42" s="16"/>
      <c r="F42" s="22">
        <f>SUM(F37:F41)</f>
        <v>-69254</v>
      </c>
      <c r="G42" s="14"/>
      <c r="I42" s="59">
        <f>SUM(I37:I41)</f>
        <v>8139</v>
      </c>
      <c r="J42" s="49">
        <f>SUM(J37:J41)</f>
        <v>1397</v>
      </c>
      <c r="K42" s="49">
        <f>SUM(K37:K41)</f>
        <v>-7154</v>
      </c>
      <c r="L42" s="49">
        <f>SUM(L37:L41)</f>
        <v>-5657</v>
      </c>
      <c r="M42" s="60">
        <f>SUM(M37:M41)</f>
        <v>-56439</v>
      </c>
      <c r="N42" s="59"/>
      <c r="O42" s="49"/>
      <c r="P42" s="49"/>
      <c r="Q42" s="49"/>
      <c r="R42" s="59"/>
      <c r="S42" s="49"/>
      <c r="T42" s="49"/>
      <c r="U42" s="60"/>
      <c r="V42" s="39">
        <f>SUM(V37:V41)</f>
        <v>-47898</v>
      </c>
    </row>
    <row r="43" spans="1:26" ht="12.75">
      <c r="A43" s="14"/>
      <c r="B43" s="14"/>
      <c r="C43" s="14"/>
      <c r="D43" s="14"/>
      <c r="E43" s="14"/>
      <c r="F43" s="14"/>
      <c r="G43" s="14"/>
      <c r="I43" s="59"/>
      <c r="J43" s="49"/>
      <c r="K43" s="49"/>
      <c r="L43" s="49"/>
      <c r="M43" s="60"/>
      <c r="N43" s="59"/>
      <c r="O43" s="49"/>
      <c r="P43" s="49"/>
      <c r="Q43" s="49"/>
      <c r="R43" s="59"/>
      <c r="S43" s="49"/>
      <c r="T43" s="49"/>
      <c r="U43" s="60"/>
      <c r="V43" s="39"/>
      <c r="Z43">
        <f>3362-2050</f>
        <v>1312</v>
      </c>
    </row>
    <row r="44" spans="1:22" ht="13.5" thickBot="1">
      <c r="A44" s="14"/>
      <c r="B44" s="14"/>
      <c r="C44" s="14"/>
      <c r="D44" s="20">
        <f>SUM(D42:D42)</f>
        <v>-47898</v>
      </c>
      <c r="E44" s="14"/>
      <c r="F44" s="20">
        <f>SUM(F42:F42)</f>
        <v>-69254</v>
      </c>
      <c r="G44" s="14"/>
      <c r="I44" s="78">
        <f>+I42</f>
        <v>8139</v>
      </c>
      <c r="J44" s="48">
        <f>+J42</f>
        <v>1397</v>
      </c>
      <c r="K44" s="48">
        <f>+K42</f>
        <v>-7154</v>
      </c>
      <c r="L44" s="48">
        <f>+L42</f>
        <v>-5657</v>
      </c>
      <c r="M44" s="79">
        <f>+M42</f>
        <v>-56439</v>
      </c>
      <c r="N44" s="61"/>
      <c r="O44" s="43"/>
      <c r="P44" s="43"/>
      <c r="Q44" s="43"/>
      <c r="R44" s="61"/>
      <c r="S44" s="43"/>
      <c r="T44" s="43"/>
      <c r="U44" s="62"/>
      <c r="V44" s="39"/>
    </row>
    <row r="45" spans="1:22" ht="13.5" thickTop="1">
      <c r="A45" s="14"/>
      <c r="B45" s="14"/>
      <c r="C45" s="14"/>
      <c r="D45" s="14"/>
      <c r="E45" s="14"/>
      <c r="F45" s="14"/>
      <c r="G45" s="14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3" ht="12.75">
      <c r="A46" s="14" t="s">
        <v>39</v>
      </c>
      <c r="B46" s="14"/>
      <c r="C46" s="14"/>
      <c r="D46" s="23">
        <f>(+D42-D15)/D37</f>
        <v>-1.3190666666666666</v>
      </c>
      <c r="E46" s="14"/>
      <c r="F46" s="23">
        <f>(+F42-F15)/F37</f>
        <v>-1.90248</v>
      </c>
      <c r="G46" s="14"/>
      <c r="I46" s="39"/>
      <c r="J46" s="39"/>
      <c r="K46" s="39"/>
      <c r="L46" s="39"/>
      <c r="M46" s="39"/>
      <c r="N46" s="39">
        <f>SUM(N12:N44)</f>
        <v>35389</v>
      </c>
      <c r="O46" s="39">
        <f aca="true" t="shared" si="3" ref="O46:U46">SUM(O12:O44)</f>
        <v>27706</v>
      </c>
      <c r="P46" s="39">
        <f t="shared" si="3"/>
        <v>9260</v>
      </c>
      <c r="Q46" s="39">
        <f t="shared" si="3"/>
        <v>10000</v>
      </c>
      <c r="R46" s="39">
        <f t="shared" si="3"/>
        <v>249255</v>
      </c>
      <c r="S46" s="39">
        <f t="shared" si="3"/>
        <v>27706</v>
      </c>
      <c r="T46" s="39">
        <f t="shared" si="3"/>
        <v>9260</v>
      </c>
      <c r="U46" s="39">
        <f t="shared" si="3"/>
        <v>10000</v>
      </c>
      <c r="V46" s="39"/>
      <c r="W46" s="39">
        <f>+V41*0.56</f>
        <v>-4278.400000000001</v>
      </c>
    </row>
    <row r="47" spans="1:22" ht="12.75">
      <c r="A47" s="14"/>
      <c r="B47" s="14"/>
      <c r="C47" s="14"/>
      <c r="D47" s="14"/>
      <c r="E47" s="14"/>
      <c r="F47" s="14"/>
      <c r="G47" s="14"/>
      <c r="I47" s="40"/>
      <c r="J47" s="40"/>
      <c r="K47" s="40"/>
      <c r="L47" s="40"/>
      <c r="M47" s="40">
        <f>+M41*0.56</f>
        <v>-4278.400000000001</v>
      </c>
      <c r="N47" s="40"/>
      <c r="O47" s="40"/>
      <c r="P47" s="40"/>
      <c r="Q47" s="40"/>
      <c r="R47" s="40"/>
      <c r="S47" s="40"/>
      <c r="T47" s="40"/>
      <c r="U47" s="40"/>
      <c r="V47" s="40"/>
    </row>
    <row r="48" spans="9:23" ht="12.75">
      <c r="I48" s="40"/>
      <c r="J48" s="40"/>
      <c r="K48" s="40"/>
      <c r="L48" s="40"/>
      <c r="M48" s="40"/>
      <c r="N48" s="40"/>
      <c r="O48" s="39">
        <f>SUM(N46:Q46)</f>
        <v>82355</v>
      </c>
      <c r="P48" s="40"/>
      <c r="Q48" s="40"/>
      <c r="R48" s="40"/>
      <c r="S48" s="39">
        <f>SUM(R46:U46)</f>
        <v>296221</v>
      </c>
      <c r="T48" s="40"/>
      <c r="U48" s="40"/>
      <c r="V48" s="39">
        <f>+V34-V42</f>
        <v>-3487</v>
      </c>
      <c r="W48" s="34">
        <f>+V41-W46</f>
        <v>-3361.5999999999995</v>
      </c>
    </row>
    <row r="49" spans="4:22" ht="12.75">
      <c r="D49" s="34">
        <f>+D34-D44</f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4:23" ht="12.75">
      <c r="D50">
        <f>106880-28412</f>
        <v>78468</v>
      </c>
      <c r="I50" s="40"/>
      <c r="J50" s="40"/>
      <c r="K50" s="40"/>
      <c r="L50" s="40"/>
      <c r="M50" s="40"/>
      <c r="N50" s="40"/>
      <c r="O50" s="40"/>
      <c r="P50" s="40"/>
      <c r="Q50" s="39">
        <f>+O48-S48</f>
        <v>-213866</v>
      </c>
      <c r="R50" s="40"/>
      <c r="S50" s="40"/>
      <c r="T50" s="40"/>
      <c r="U50" s="40"/>
      <c r="V50" s="40"/>
      <c r="W50" s="34">
        <f>+W46-W48</f>
        <v>-916.8000000000011</v>
      </c>
    </row>
    <row r="51" spans="4:22" ht="12.75">
      <c r="D51">
        <f>74530-28412</f>
        <v>46118</v>
      </c>
      <c r="I51" s="40">
        <f>+D41*0.65</f>
        <v>-4966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>
        <f>74531-28586</f>
        <v>45945</v>
      </c>
    </row>
    <row r="52" spans="9:22" ht="12.75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9:22" ht="12.75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9:22" ht="12.75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9:22" ht="12.75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9:22" ht="12.75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12.75">
      <c r="D57">
        <f>41331610-21968978</f>
        <v>19362632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9:22" ht="12.75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9:22" ht="12.75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9:22" ht="12.75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9:22" ht="12.75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9:22" ht="12.75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9:22" ht="12.75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</sheetData>
  <mergeCells count="8">
    <mergeCell ref="N6:U6"/>
    <mergeCell ref="N7:Q8"/>
    <mergeCell ref="R7:U8"/>
    <mergeCell ref="A6:F6"/>
    <mergeCell ref="A2:F2"/>
    <mergeCell ref="A3:F3"/>
    <mergeCell ref="A4:F4"/>
    <mergeCell ref="A5:F5"/>
  </mergeCells>
  <printOptions/>
  <pageMargins left="0.63" right="0.38" top="0.66" bottom="0.57" header="0.61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 topLeftCell="A12">
      <selection activeCell="D3" sqref="D3:G3"/>
    </sheetView>
  </sheetViews>
  <sheetFormatPr defaultColWidth="9.140625" defaultRowHeight="12.75"/>
  <cols>
    <col min="3" max="3" width="5.00390625" style="0" customWidth="1"/>
    <col min="4" max="4" width="3.421875" style="0" customWidth="1"/>
    <col min="6" max="6" width="3.00390625" style="0" customWidth="1"/>
    <col min="7" max="7" width="12.7109375" style="0" customWidth="1"/>
    <col min="8" max="8" width="3.28125" style="0" customWidth="1"/>
    <col min="10" max="10" width="3.7109375" style="0" customWidth="1"/>
    <col min="12" max="12" width="3.42187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1"/>
      <c r="C3" s="1"/>
      <c r="D3" s="100" t="s">
        <v>124</v>
      </c>
      <c r="E3" s="100"/>
      <c r="F3" s="100"/>
      <c r="G3" s="100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99" t="s">
        <v>123</v>
      </c>
      <c r="E4" s="99"/>
      <c r="F4" s="99"/>
      <c r="G4" s="99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85"/>
      <c r="E5" s="85" t="s">
        <v>122</v>
      </c>
      <c r="F5" s="85"/>
      <c r="G5" s="85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01" t="s">
        <v>120</v>
      </c>
      <c r="E6" s="101"/>
      <c r="F6" s="101"/>
      <c r="G6" s="10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01" t="s">
        <v>121</v>
      </c>
      <c r="E7" s="101"/>
      <c r="F7" s="101"/>
      <c r="G7" s="10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2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 t="s">
        <v>94</v>
      </c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1"/>
      <c r="F12" s="11"/>
      <c r="G12" s="11"/>
      <c r="H12" s="11"/>
      <c r="I12" s="11" t="s">
        <v>50</v>
      </c>
      <c r="J12" s="11"/>
      <c r="K12" s="11"/>
      <c r="L12" s="1"/>
      <c r="M12" s="1"/>
    </row>
    <row r="13" spans="1:13" ht="12.75">
      <c r="A13" s="1"/>
      <c r="B13" s="1"/>
      <c r="C13" s="1"/>
      <c r="D13" s="1"/>
      <c r="E13" s="11" t="s">
        <v>51</v>
      </c>
      <c r="F13" s="11"/>
      <c r="G13" s="11" t="s">
        <v>52</v>
      </c>
      <c r="H13" s="11"/>
      <c r="I13" s="11" t="s">
        <v>53</v>
      </c>
      <c r="J13" s="11"/>
      <c r="K13" s="11" t="s">
        <v>54</v>
      </c>
      <c r="L13" s="1"/>
      <c r="M13" s="1"/>
    </row>
    <row r="14" spans="1:13" ht="12.75">
      <c r="A14" s="1"/>
      <c r="B14" s="1"/>
      <c r="C14" s="1"/>
      <c r="D14" s="1"/>
      <c r="E14" s="11" t="s">
        <v>52</v>
      </c>
      <c r="F14" s="11"/>
      <c r="G14" s="11" t="s">
        <v>8</v>
      </c>
      <c r="H14" s="11"/>
      <c r="I14" s="11" t="s">
        <v>8</v>
      </c>
      <c r="J14" s="11"/>
      <c r="K14" s="11" t="s">
        <v>55</v>
      </c>
      <c r="L14" s="1"/>
      <c r="M14" s="11" t="s">
        <v>48</v>
      </c>
    </row>
    <row r="15" spans="1:13" ht="12.75">
      <c r="A15" s="1"/>
      <c r="B15" s="1"/>
      <c r="C15" s="1"/>
      <c r="D15" s="1"/>
      <c r="E15" s="5" t="s">
        <v>0</v>
      </c>
      <c r="F15" s="5"/>
      <c r="G15" s="5" t="s">
        <v>0</v>
      </c>
      <c r="H15" s="5"/>
      <c r="I15" s="5" t="s">
        <v>0</v>
      </c>
      <c r="J15" s="5"/>
      <c r="K15" s="5" t="s">
        <v>0</v>
      </c>
      <c r="L15" s="1"/>
      <c r="M15" s="5" t="s"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 t="s">
        <v>110</v>
      </c>
      <c r="B17" s="1"/>
      <c r="C17" s="1"/>
      <c r="D17" s="1"/>
      <c r="E17" s="4">
        <v>37500</v>
      </c>
      <c r="F17" s="4"/>
      <c r="G17" s="4">
        <v>710</v>
      </c>
      <c r="H17" s="4"/>
      <c r="I17" s="4">
        <v>-5861</v>
      </c>
      <c r="J17" s="4"/>
      <c r="K17" s="4">
        <v>-106880</v>
      </c>
      <c r="L17" s="1"/>
      <c r="M17" s="4">
        <f>SUM(E17:K17)</f>
        <v>-74531</v>
      </c>
    </row>
    <row r="18" spans="1:13" ht="12.75">
      <c r="A18" s="1"/>
      <c r="B18" s="1"/>
      <c r="C18" s="1"/>
      <c r="D18" s="1"/>
      <c r="E18" s="4"/>
      <c r="F18" s="4"/>
      <c r="G18" s="4"/>
      <c r="H18" s="4"/>
      <c r="I18" s="4"/>
      <c r="J18" s="4"/>
      <c r="K18" s="4"/>
      <c r="L18" s="1"/>
      <c r="M18" s="1"/>
    </row>
    <row r="19" spans="1:13" ht="12.75">
      <c r="A19" s="1" t="s">
        <v>56</v>
      </c>
      <c r="B19" s="1"/>
      <c r="C19" s="1"/>
      <c r="D19" s="1"/>
      <c r="E19" s="30">
        <v>0</v>
      </c>
      <c r="F19" s="30"/>
      <c r="G19" s="30">
        <v>0</v>
      </c>
      <c r="H19" s="30"/>
      <c r="I19" s="30">
        <v>0</v>
      </c>
      <c r="J19" s="4"/>
      <c r="K19" s="4">
        <v>28412</v>
      </c>
      <c r="L19" s="1"/>
      <c r="M19" s="4">
        <f>SUM(E19:K19)</f>
        <v>28412</v>
      </c>
    </row>
    <row r="20" spans="1:13" ht="12.75">
      <c r="A20" s="1"/>
      <c r="B20" s="1"/>
      <c r="C20" s="1"/>
      <c r="D20" s="1"/>
      <c r="E20" s="4"/>
      <c r="F20" s="4"/>
      <c r="G20" s="4"/>
      <c r="H20" s="4"/>
      <c r="I20" s="4"/>
      <c r="J20" s="4"/>
      <c r="K20" s="4"/>
      <c r="L20" s="1"/>
      <c r="M20" s="1"/>
    </row>
    <row r="21" spans="1:13" ht="12.75">
      <c r="A21" s="1"/>
      <c r="B21" s="1"/>
      <c r="C21" s="1"/>
      <c r="D21" s="1"/>
      <c r="E21" s="4"/>
      <c r="F21" s="4"/>
      <c r="G21" s="4"/>
      <c r="H21" s="4"/>
      <c r="I21" s="4"/>
      <c r="J21" s="4"/>
      <c r="K21" s="4"/>
      <c r="L21" s="1"/>
      <c r="M21" s="3"/>
    </row>
    <row r="22" spans="1:13" ht="12.75">
      <c r="A22" s="1"/>
      <c r="B22" s="1"/>
      <c r="C22" s="1"/>
      <c r="D22" s="1"/>
      <c r="E22" s="4"/>
      <c r="F22" s="4"/>
      <c r="G22" s="4"/>
      <c r="H22" s="4"/>
      <c r="I22" s="4"/>
      <c r="J22" s="4"/>
      <c r="K22" s="4"/>
      <c r="L22" s="1"/>
      <c r="M22" s="1"/>
    </row>
    <row r="23" spans="1:13" ht="12.75">
      <c r="A23" s="1" t="s">
        <v>57</v>
      </c>
      <c r="B23" s="1"/>
      <c r="C23" s="1"/>
      <c r="D23" s="1"/>
      <c r="E23" s="30">
        <v>0</v>
      </c>
      <c r="F23" s="30"/>
      <c r="G23" s="30">
        <v>0</v>
      </c>
      <c r="H23" s="4"/>
      <c r="I23" s="4">
        <f>-7640+5861</f>
        <v>-1779</v>
      </c>
      <c r="J23" s="4"/>
      <c r="K23" s="30">
        <v>0</v>
      </c>
      <c r="L23" s="1"/>
      <c r="M23" s="3">
        <f>+I23</f>
        <v>-1779</v>
      </c>
    </row>
    <row r="24" spans="1:13" ht="12.75">
      <c r="A24" s="1"/>
      <c r="B24" s="1"/>
      <c r="C24" s="1"/>
      <c r="D24" s="1"/>
      <c r="E24" s="4"/>
      <c r="F24" s="4"/>
      <c r="G24" s="4"/>
      <c r="H24" s="4"/>
      <c r="I24" s="4"/>
      <c r="J24" s="4"/>
      <c r="K24" s="4"/>
      <c r="L24" s="1"/>
      <c r="M24" s="1"/>
    </row>
    <row r="25" spans="1:16" ht="13.5" thickBot="1">
      <c r="A25" s="1" t="s">
        <v>111</v>
      </c>
      <c r="B25" s="1"/>
      <c r="C25" s="1"/>
      <c r="D25" s="1"/>
      <c r="E25" s="12">
        <f>SUM(E17:E23)</f>
        <v>37500</v>
      </c>
      <c r="F25" s="4"/>
      <c r="G25" s="12">
        <f>SUM(G17:G23)</f>
        <v>710</v>
      </c>
      <c r="H25" s="4"/>
      <c r="I25" s="12">
        <f>SUM(I17:I23)</f>
        <v>-7640</v>
      </c>
      <c r="J25" s="4"/>
      <c r="K25" s="12">
        <f>SUM(K17:K23)</f>
        <v>-78468</v>
      </c>
      <c r="L25" s="1"/>
      <c r="M25" s="12">
        <f>SUM(M17:M23)</f>
        <v>-47898</v>
      </c>
      <c r="P25">
        <f>81955+28412</f>
        <v>110367</v>
      </c>
    </row>
    <row r="26" spans="1:13" ht="13.5" thickTop="1">
      <c r="A26" s="1"/>
      <c r="B26" s="1"/>
      <c r="C26" s="1"/>
      <c r="D26" s="1"/>
      <c r="E26" s="4"/>
      <c r="F26" s="4"/>
      <c r="G26" s="4"/>
      <c r="H26" s="4"/>
      <c r="I26" s="4"/>
      <c r="J26" s="4"/>
      <c r="K26" s="4"/>
      <c r="L26" s="1"/>
      <c r="M26" s="1"/>
    </row>
    <row r="27" spans="1:13" ht="12.75">
      <c r="A27" s="1"/>
      <c r="B27" s="1"/>
      <c r="C27" s="1"/>
      <c r="D27" s="1"/>
      <c r="E27" s="4"/>
      <c r="F27" s="4"/>
      <c r="G27" s="4"/>
      <c r="H27" s="4"/>
      <c r="I27" s="4"/>
      <c r="J27" s="4"/>
      <c r="K27" s="4"/>
      <c r="L27" s="1"/>
      <c r="M27" s="1"/>
    </row>
    <row r="28" spans="1:13" ht="12.75">
      <c r="A28" s="1"/>
      <c r="B28" s="1"/>
      <c r="C28" s="1"/>
      <c r="D28" s="1"/>
      <c r="E28" s="4"/>
      <c r="F28" s="4"/>
      <c r="G28" s="4"/>
      <c r="H28" s="4"/>
      <c r="I28" s="4"/>
      <c r="J28" s="4"/>
      <c r="K28" s="4"/>
      <c r="L28" s="1"/>
      <c r="M28" s="1"/>
    </row>
    <row r="29" ht="12.75">
      <c r="M29" s="34"/>
    </row>
  </sheetData>
  <mergeCells count="4">
    <mergeCell ref="D3:G3"/>
    <mergeCell ref="D4:G4"/>
    <mergeCell ref="D6:G6"/>
    <mergeCell ref="D7:G7"/>
  </mergeCells>
  <printOptions/>
  <pageMargins left="0.75" right="0.41" top="1" bottom="1" header="0.5" footer="0.5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24">
      <selection activeCell="C26" sqref="C26"/>
    </sheetView>
  </sheetViews>
  <sheetFormatPr defaultColWidth="9.140625" defaultRowHeight="12.75"/>
  <cols>
    <col min="1" max="1" width="49.00390625" style="0" customWidth="1"/>
    <col min="4" max="4" width="9.57421875" style="0" bestFit="1" customWidth="1"/>
  </cols>
  <sheetData>
    <row r="2" spans="1:5" ht="12.75">
      <c r="A2" s="102" t="s">
        <v>64</v>
      </c>
      <c r="B2" s="102"/>
      <c r="C2" s="102"/>
      <c r="D2" s="1"/>
      <c r="E2" s="1"/>
    </row>
    <row r="3" spans="1:5" ht="12.75">
      <c r="A3" s="103" t="s">
        <v>11</v>
      </c>
      <c r="B3" s="103"/>
      <c r="C3" s="103"/>
      <c r="D3" s="1"/>
      <c r="E3" s="1"/>
    </row>
    <row r="4" spans="1:4" ht="12.75">
      <c r="A4" s="88" t="s">
        <v>59</v>
      </c>
      <c r="B4" s="88"/>
      <c r="C4" s="88"/>
      <c r="D4" s="14"/>
    </row>
    <row r="5" spans="1:4" ht="12.75">
      <c r="A5" s="88" t="s">
        <v>77</v>
      </c>
      <c r="B5" s="88"/>
      <c r="C5" s="88"/>
      <c r="D5" s="14"/>
    </row>
    <row r="6" spans="1:4" ht="12.75">
      <c r="A6" s="15"/>
      <c r="B6" s="14"/>
      <c r="C6" s="14"/>
      <c r="D6" s="14"/>
    </row>
    <row r="7" spans="1:4" ht="12.75">
      <c r="A7" s="14"/>
      <c r="B7" s="14"/>
      <c r="C7" s="25"/>
      <c r="D7" s="14"/>
    </row>
    <row r="8" spans="1:4" ht="12.75">
      <c r="A8" s="14"/>
      <c r="B8" s="14"/>
      <c r="C8" s="24" t="s">
        <v>1</v>
      </c>
      <c r="D8" s="14"/>
    </row>
    <row r="9" spans="1:4" ht="12.75">
      <c r="A9" s="14"/>
      <c r="B9" s="14"/>
      <c r="C9" s="14"/>
      <c r="D9" s="14"/>
    </row>
    <row r="10" spans="1:4" ht="12.75">
      <c r="A10" s="14" t="s">
        <v>112</v>
      </c>
      <c r="B10" s="14"/>
      <c r="C10" s="16">
        <v>28412</v>
      </c>
      <c r="D10" s="16"/>
    </row>
    <row r="11" spans="1:4" ht="12.75">
      <c r="A11" s="14"/>
      <c r="B11" s="14"/>
      <c r="C11" s="17"/>
      <c r="D11" s="14"/>
    </row>
    <row r="12" spans="1:4" ht="12.75">
      <c r="A12" s="14" t="s">
        <v>40</v>
      </c>
      <c r="B12" s="14"/>
      <c r="C12" s="14"/>
      <c r="D12" s="14"/>
    </row>
    <row r="13" spans="1:4" ht="12.75">
      <c r="A13" s="14" t="s">
        <v>41</v>
      </c>
      <c r="B13" s="14"/>
      <c r="C13" s="17">
        <f>311+37+142</f>
        <v>490</v>
      </c>
      <c r="D13" s="14"/>
    </row>
    <row r="14" spans="1:4" ht="12.75">
      <c r="A14" s="14" t="s">
        <v>42</v>
      </c>
      <c r="B14" s="14"/>
      <c r="C14" s="17">
        <v>174</v>
      </c>
      <c r="D14" s="14"/>
    </row>
    <row r="15" spans="1:4" ht="12.75">
      <c r="A15" s="14" t="s">
        <v>66</v>
      </c>
      <c r="B15" s="14"/>
      <c r="C15" s="17"/>
      <c r="D15" s="14"/>
    </row>
    <row r="16" spans="1:4" ht="12.75">
      <c r="A16" s="14" t="s">
        <v>43</v>
      </c>
      <c r="B16" s="14"/>
      <c r="C16" s="17">
        <v>1579</v>
      </c>
      <c r="D16" s="14"/>
    </row>
    <row r="17" spans="1:4" ht="12.75">
      <c r="A17" s="14" t="s">
        <v>67</v>
      </c>
      <c r="B17" s="14"/>
      <c r="C17" s="17">
        <v>0</v>
      </c>
      <c r="D17" s="14"/>
    </row>
    <row r="18" spans="1:4" ht="12.75">
      <c r="A18" s="14" t="s">
        <v>113</v>
      </c>
      <c r="B18" s="14"/>
      <c r="C18" s="19">
        <v>3004</v>
      </c>
      <c r="D18" s="14"/>
    </row>
    <row r="19" spans="1:4" ht="12.75">
      <c r="A19" s="14" t="s">
        <v>71</v>
      </c>
      <c r="B19" s="14"/>
      <c r="C19" s="16">
        <f>SUM(C10:C18)</f>
        <v>33659</v>
      </c>
      <c r="D19" s="18"/>
    </row>
    <row r="20" spans="1:4" ht="12.75">
      <c r="A20" s="14"/>
      <c r="B20" s="14"/>
      <c r="C20" s="14"/>
      <c r="D20" s="14"/>
    </row>
    <row r="21" spans="1:4" ht="12.75">
      <c r="A21" s="14" t="s">
        <v>68</v>
      </c>
      <c r="B21" s="14"/>
      <c r="C21" s="14"/>
      <c r="D21" s="14"/>
    </row>
    <row r="22" spans="1:4" ht="12.75">
      <c r="A22" s="14" t="s">
        <v>69</v>
      </c>
      <c r="B22" s="14"/>
      <c r="C22" s="14"/>
      <c r="D22" s="14"/>
    </row>
    <row r="23" spans="1:4" ht="12.75">
      <c r="A23" s="14" t="s">
        <v>44</v>
      </c>
      <c r="B23" s="14"/>
      <c r="C23" s="16">
        <v>-17</v>
      </c>
      <c r="D23" s="14"/>
    </row>
    <row r="24" spans="1:4" ht="12.75">
      <c r="A24" s="14" t="s">
        <v>65</v>
      </c>
      <c r="B24" s="14"/>
      <c r="C24" s="16">
        <v>-1071</v>
      </c>
      <c r="D24" s="14"/>
    </row>
    <row r="25" spans="1:4" ht="12.75">
      <c r="A25" s="14" t="s">
        <v>70</v>
      </c>
      <c r="B25" s="14"/>
      <c r="C25" s="16"/>
      <c r="D25" s="14"/>
    </row>
    <row r="26" spans="1:4" ht="12.75">
      <c r="A26" s="14" t="s">
        <v>45</v>
      </c>
      <c r="B26" s="14"/>
      <c r="C26" s="22">
        <v>18295</v>
      </c>
      <c r="D26" s="16"/>
    </row>
    <row r="27" spans="1:4" ht="12.75">
      <c r="A27" s="14" t="s">
        <v>46</v>
      </c>
      <c r="B27" s="14"/>
      <c r="C27" s="19">
        <v>-253</v>
      </c>
      <c r="D27" s="16"/>
    </row>
    <row r="28" spans="1:4" ht="12.75">
      <c r="A28" s="14" t="s">
        <v>119</v>
      </c>
      <c r="B28" s="14"/>
      <c r="C28" s="16">
        <f>SUM(C19:C27)</f>
        <v>50613</v>
      </c>
      <c r="D28" s="18"/>
    </row>
    <row r="29" spans="1:4" ht="12.75">
      <c r="A29" s="14"/>
      <c r="B29" s="14"/>
      <c r="C29" s="14"/>
      <c r="D29" s="14"/>
    </row>
    <row r="30" spans="1:4" ht="12.75">
      <c r="A30" s="14" t="s">
        <v>118</v>
      </c>
      <c r="B30" s="14"/>
      <c r="C30" s="16">
        <v>-16893</v>
      </c>
      <c r="D30" s="16"/>
    </row>
    <row r="31" spans="1:4" ht="12.75">
      <c r="A31" s="14"/>
      <c r="B31" s="14"/>
      <c r="C31" s="16"/>
      <c r="D31" s="16"/>
    </row>
    <row r="32" spans="1:4" ht="12.75">
      <c r="A32" s="14"/>
      <c r="B32" s="14"/>
      <c r="C32" s="32"/>
      <c r="D32" s="14"/>
    </row>
    <row r="33" spans="1:4" ht="12.75">
      <c r="A33" s="14" t="s">
        <v>47</v>
      </c>
      <c r="B33" s="14"/>
      <c r="C33" s="16">
        <f>SUM(C28:C32)</f>
        <v>33720</v>
      </c>
      <c r="D33" s="16"/>
    </row>
    <row r="34" spans="1:4" ht="12.75">
      <c r="A34" s="14"/>
      <c r="B34" s="14"/>
      <c r="C34" s="14"/>
      <c r="D34" s="14"/>
    </row>
    <row r="35" spans="1:4" ht="12.75">
      <c r="A35" s="14" t="s">
        <v>114</v>
      </c>
      <c r="B35" s="14"/>
      <c r="C35" s="16">
        <v>-45850</v>
      </c>
      <c r="D35" s="17"/>
    </row>
    <row r="36" spans="1:4" ht="12.75">
      <c r="A36" s="14" t="s">
        <v>72</v>
      </c>
      <c r="B36" s="14"/>
      <c r="C36" s="16"/>
      <c r="D36" s="17"/>
    </row>
    <row r="37" spans="1:4" ht="12.75">
      <c r="A37" s="14" t="s">
        <v>115</v>
      </c>
      <c r="B37" s="14"/>
      <c r="C37" s="16">
        <f>+C33+C35</f>
        <v>-12130</v>
      </c>
      <c r="D37" s="17"/>
    </row>
    <row r="38" spans="1:4" ht="12.75">
      <c r="A38" s="14"/>
      <c r="B38" s="14"/>
      <c r="C38" s="16"/>
      <c r="D38" s="17"/>
    </row>
    <row r="39" spans="1:5" ht="12.75">
      <c r="A39" s="14"/>
      <c r="B39" s="14"/>
      <c r="C39" s="16"/>
      <c r="D39" s="17"/>
      <c r="E39" s="33"/>
    </row>
    <row r="40" spans="1:5" ht="12.75">
      <c r="A40" s="14"/>
      <c r="B40" s="14"/>
      <c r="C40" s="16"/>
      <c r="D40" s="17"/>
      <c r="E40" s="33"/>
    </row>
    <row r="41" spans="1:4" ht="12.75">
      <c r="A41" s="14"/>
      <c r="B41" s="14"/>
      <c r="C41" s="16"/>
      <c r="D41" s="14"/>
    </row>
  </sheetData>
  <mergeCells count="4">
    <mergeCell ref="A5:C5"/>
    <mergeCell ref="A2:C2"/>
    <mergeCell ref="A3:C3"/>
    <mergeCell ref="A4:C4"/>
  </mergeCells>
  <printOptions/>
  <pageMargins left="1.24" right="0.75" top="1.1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TCCSBKL1</cp:lastModifiedBy>
  <cp:lastPrinted>2003-11-28T09:41:44Z</cp:lastPrinted>
  <dcterms:created xsi:type="dcterms:W3CDTF">1999-11-03T02:28:44Z</dcterms:created>
  <dcterms:modified xsi:type="dcterms:W3CDTF">2003-11-27T23:09:53Z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